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excel\parish share\paid\2022 paid\"/>
    </mc:Choice>
  </mc:AlternateContent>
  <bookViews>
    <workbookView xWindow="120" yWindow="75" windowWidth="19440" windowHeight="7995" tabRatio="385" firstSheet="1" activeTab="1"/>
  </bookViews>
  <sheets>
    <sheet name="2022 detail (2)" sheetId="11" state="hidden" r:id="rId1"/>
    <sheet name="2022 detail" sheetId="9" r:id="rId2"/>
    <sheet name="Multi year deanery" sheetId="8" r:id="rId3"/>
    <sheet name="check debtor" sheetId="10" state="hidden" r:id="rId4"/>
    <sheet name="2022 by benefice" sheetId="4" r:id="rId5"/>
    <sheet name="2021 Detail" sheetId="1" state="hidden" r:id="rId6"/>
    <sheet name="2020 detail" sheetId="6" state="hidden" r:id="rId7"/>
    <sheet name="2021 forecast" sheetId="7" state="hidden" r:id="rId8"/>
    <sheet name="2021 Card summary" sheetId="5" state="hidden" r:id="rId9"/>
    <sheet name="2021 Summary" sheetId="3" state="hidden" r:id="rId10"/>
  </sheets>
  <definedNames>
    <definedName name="_xlnm.Print_Area" localSheetId="8">'2021 Card summary'!$A$1:$I$45</definedName>
    <definedName name="_xlnm.Print_Area" localSheetId="5">'2021 Detail'!$A$1:$AJ$490</definedName>
    <definedName name="_xlnm.Print_Area" localSheetId="7">'2021 forecast'!$A$1:$Q$30</definedName>
    <definedName name="_xlnm.Print_Area" localSheetId="9">'2021 Summary'!$A$1:$O$35</definedName>
    <definedName name="_xlnm.Print_Area" localSheetId="4">'2022 by benefice'!$A$1:$K$199</definedName>
    <definedName name="_xlnm.Print_Area" localSheetId="1">'2022 detail'!$A$1:$AL$511</definedName>
    <definedName name="_xlnm.Print_Area" localSheetId="0">'2022 detail (2)'!$A$1:$AL$511</definedName>
    <definedName name="_xlnm.Print_Area" localSheetId="2">'Multi year deanery'!$A$1:$Y$40</definedName>
    <definedName name="_xlnm.Print_Titles" localSheetId="4">'2022 by benefice'!$1:$3</definedName>
    <definedName name="Z_E2845CE0_0F1A_11D6_8007_00C0F0318434_.wvu.PrintArea" localSheetId="7" hidden="1">'2021 forecast'!$A$1:$D$35</definedName>
    <definedName name="Z_E2845CE0_0F1A_11D6_8007_00C0F0318434_.wvu.PrintArea" localSheetId="9" hidden="1">'2021 Summary'!$A$1:$O$41</definedName>
    <definedName name="Z_E2845CE0_0F1A_11D6_8007_00C0F0318434_.wvu.PrintArea" localSheetId="2" hidden="1">'Multi year deanery'!$A$1:$J$70</definedName>
  </definedNames>
  <calcPr calcId="162913"/>
</workbook>
</file>

<file path=xl/calcChain.xml><?xml version="1.0" encoding="utf-8"?>
<calcChain xmlns="http://schemas.openxmlformats.org/spreadsheetml/2006/main">
  <c r="W569" i="9" l="1"/>
  <c r="W512" i="6"/>
  <c r="W511" i="6"/>
  <c r="W510" i="6"/>
  <c r="W509" i="6"/>
  <c r="W508" i="6"/>
  <c r="W507" i="6"/>
  <c r="W506" i="6"/>
  <c r="W505" i="6"/>
  <c r="W504" i="6"/>
  <c r="W503" i="6"/>
  <c r="W502" i="6"/>
  <c r="W501" i="6"/>
  <c r="AH8" i="9" l="1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483" i="9"/>
  <c r="AH480" i="9"/>
  <c r="AH481" i="9"/>
  <c r="AH482" i="9"/>
  <c r="AH479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18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1" i="9"/>
  <c r="AH392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371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40" i="9"/>
  <c r="AH313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6" i="9"/>
  <c r="AH312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75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30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175" i="9"/>
  <c r="AH174" i="9"/>
  <c r="AH153" i="9"/>
  <c r="AH154" i="9"/>
  <c r="AH155" i="9"/>
  <c r="AH156" i="9"/>
  <c r="AH157" i="9"/>
  <c r="AH158" i="9"/>
  <c r="AH159" i="9"/>
  <c r="AH160" i="9"/>
  <c r="AH152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38" i="9"/>
  <c r="AH135" i="9"/>
  <c r="AH136" i="9"/>
  <c r="AH134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06" i="9"/>
  <c r="AH103" i="9"/>
  <c r="AH104" i="9"/>
  <c r="AH105" i="9"/>
  <c r="AH102" i="9"/>
  <c r="AH97" i="9"/>
  <c r="AH98" i="9"/>
  <c r="AH99" i="9"/>
  <c r="AH100" i="9"/>
  <c r="AH101" i="9"/>
  <c r="AH96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52" i="9"/>
  <c r="H512" i="6" l="1"/>
  <c r="H511" i="6"/>
  <c r="H510" i="6"/>
  <c r="H509" i="6"/>
  <c r="H508" i="6"/>
  <c r="H506" i="6"/>
  <c r="H507" i="6"/>
  <c r="H505" i="6"/>
  <c r="H504" i="6"/>
  <c r="H503" i="6"/>
  <c r="H502" i="6"/>
  <c r="H501" i="6"/>
  <c r="U533" i="11"/>
  <c r="G531" i="11"/>
  <c r="AC508" i="11"/>
  <c r="AB508" i="11"/>
  <c r="AA508" i="11"/>
  <c r="U508" i="11"/>
  <c r="T508" i="11"/>
  <c r="S508" i="11"/>
  <c r="R508" i="11"/>
  <c r="Q508" i="11"/>
  <c r="P508" i="11"/>
  <c r="O508" i="11"/>
  <c r="N508" i="11"/>
  <c r="M508" i="11"/>
  <c r="L508" i="11"/>
  <c r="K508" i="11"/>
  <c r="H508" i="11" s="1"/>
  <c r="I508" i="11" s="1"/>
  <c r="J508" i="11"/>
  <c r="G508" i="11"/>
  <c r="AQ507" i="11"/>
  <c r="AC507" i="11"/>
  <c r="AB507" i="11"/>
  <c r="AA507" i="11"/>
  <c r="U507" i="11"/>
  <c r="T507" i="11"/>
  <c r="S507" i="11"/>
  <c r="R507" i="11"/>
  <c r="Q507" i="11"/>
  <c r="P507" i="11"/>
  <c r="O507" i="11"/>
  <c r="N507" i="11"/>
  <c r="M507" i="11"/>
  <c r="L507" i="11"/>
  <c r="AM507" i="11" s="1"/>
  <c r="AN507" i="11" s="1"/>
  <c r="K507" i="11"/>
  <c r="J507" i="11"/>
  <c r="G507" i="11"/>
  <c r="AJ505" i="11"/>
  <c r="AL505" i="11" s="1"/>
  <c r="AH505" i="11"/>
  <c r="H505" i="11"/>
  <c r="W505" i="11" s="1"/>
  <c r="AH504" i="11"/>
  <c r="AJ504" i="11" s="1"/>
  <c r="AL504" i="11" s="1"/>
  <c r="I504" i="11"/>
  <c r="H504" i="11"/>
  <c r="W504" i="11" s="1"/>
  <c r="AH503" i="11"/>
  <c r="AJ503" i="11" s="1"/>
  <c r="AL503" i="11" s="1"/>
  <c r="W503" i="11"/>
  <c r="I503" i="11"/>
  <c r="H503" i="11"/>
  <c r="AH502" i="11"/>
  <c r="H502" i="11"/>
  <c r="AJ502" i="11" s="1"/>
  <c r="AL502" i="11" s="1"/>
  <c r="AL501" i="11"/>
  <c r="AH501" i="11"/>
  <c r="W501" i="11"/>
  <c r="I501" i="11"/>
  <c r="H501" i="11"/>
  <c r="AJ501" i="11" s="1"/>
  <c r="AH500" i="11"/>
  <c r="AJ500" i="11" s="1"/>
  <c r="AL500" i="11" s="1"/>
  <c r="I500" i="11"/>
  <c r="H500" i="11"/>
  <c r="W500" i="11" s="1"/>
  <c r="AH499" i="11"/>
  <c r="W499" i="11"/>
  <c r="I499" i="11"/>
  <c r="H499" i="11"/>
  <c r="AJ499" i="11" s="1"/>
  <c r="AL499" i="11" s="1"/>
  <c r="AH498" i="11"/>
  <c r="H498" i="11"/>
  <c r="AJ498" i="11" s="1"/>
  <c r="AL498" i="11" s="1"/>
  <c r="AH497" i="11"/>
  <c r="AJ497" i="11" s="1"/>
  <c r="AL497" i="11" s="1"/>
  <c r="W497" i="11"/>
  <c r="I497" i="11"/>
  <c r="H497" i="11"/>
  <c r="AH496" i="11"/>
  <c r="AJ496" i="11" s="1"/>
  <c r="AL496" i="11" s="1"/>
  <c r="I496" i="11"/>
  <c r="H496" i="11"/>
  <c r="W496" i="11" s="1"/>
  <c r="AH495" i="11"/>
  <c r="W495" i="11"/>
  <c r="I495" i="11"/>
  <c r="H495" i="11"/>
  <c r="AJ495" i="11" s="1"/>
  <c r="AL495" i="11" s="1"/>
  <c r="AH494" i="11"/>
  <c r="H494" i="11"/>
  <c r="AJ494" i="11" s="1"/>
  <c r="AL494" i="11" s="1"/>
  <c r="AH493" i="11"/>
  <c r="W493" i="11"/>
  <c r="I493" i="11"/>
  <c r="H493" i="11"/>
  <c r="AJ493" i="11" s="1"/>
  <c r="AL493" i="11" s="1"/>
  <c r="AH492" i="11"/>
  <c r="AJ492" i="11" s="1"/>
  <c r="AL492" i="11" s="1"/>
  <c r="I492" i="11"/>
  <c r="H492" i="11"/>
  <c r="W492" i="11" s="1"/>
  <c r="AH491" i="11"/>
  <c r="W491" i="11"/>
  <c r="I491" i="11"/>
  <c r="H491" i="11"/>
  <c r="AJ491" i="11" s="1"/>
  <c r="AL491" i="11" s="1"/>
  <c r="AH490" i="11"/>
  <c r="H490" i="11"/>
  <c r="AJ490" i="11" s="1"/>
  <c r="AL490" i="11" s="1"/>
  <c r="AL489" i="11"/>
  <c r="AH489" i="11"/>
  <c r="W489" i="11"/>
  <c r="I489" i="11"/>
  <c r="H489" i="11"/>
  <c r="AJ489" i="11" s="1"/>
  <c r="AH488" i="11"/>
  <c r="AJ488" i="11" s="1"/>
  <c r="AL488" i="11" s="1"/>
  <c r="I488" i="11"/>
  <c r="H488" i="11"/>
  <c r="W488" i="11" s="1"/>
  <c r="AH487" i="11"/>
  <c r="W487" i="11"/>
  <c r="I487" i="11"/>
  <c r="H487" i="11"/>
  <c r="AJ487" i="11" s="1"/>
  <c r="AL487" i="11" s="1"/>
  <c r="AH486" i="11"/>
  <c r="H486" i="11"/>
  <c r="AJ486" i="11" s="1"/>
  <c r="AL486" i="11" s="1"/>
  <c r="AL485" i="11"/>
  <c r="AH485" i="11"/>
  <c r="W485" i="11"/>
  <c r="I485" i="11"/>
  <c r="H485" i="11"/>
  <c r="AJ485" i="11" s="1"/>
  <c r="AH484" i="11"/>
  <c r="AJ484" i="11" s="1"/>
  <c r="AL484" i="11" s="1"/>
  <c r="I484" i="11"/>
  <c r="H484" i="11"/>
  <c r="W484" i="11" s="1"/>
  <c r="AH483" i="11"/>
  <c r="W483" i="11"/>
  <c r="I483" i="11"/>
  <c r="H483" i="11"/>
  <c r="AJ483" i="11" s="1"/>
  <c r="AL483" i="11" s="1"/>
  <c r="AH482" i="11"/>
  <c r="H482" i="11"/>
  <c r="AJ482" i="11" s="1"/>
  <c r="AL482" i="11" s="1"/>
  <c r="AH481" i="11"/>
  <c r="W481" i="11"/>
  <c r="I481" i="11"/>
  <c r="H481" i="11"/>
  <c r="AJ481" i="11" s="1"/>
  <c r="AL481" i="11" s="1"/>
  <c r="AH480" i="11"/>
  <c r="AJ480" i="11" s="1"/>
  <c r="AL480" i="11" s="1"/>
  <c r="I480" i="11"/>
  <c r="H480" i="11"/>
  <c r="H507" i="11" s="1"/>
  <c r="AH479" i="11"/>
  <c r="W479" i="11"/>
  <c r="I479" i="11"/>
  <c r="H479" i="11"/>
  <c r="AQ476" i="11"/>
  <c r="AE476" i="11"/>
  <c r="AC476" i="11"/>
  <c r="AB476" i="11"/>
  <c r="AA476" i="11"/>
  <c r="W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D476" i="11"/>
  <c r="C476" i="11"/>
  <c r="B476" i="11"/>
  <c r="G474" i="11"/>
  <c r="F471" i="11"/>
  <c r="E471" i="11"/>
  <c r="D471" i="11"/>
  <c r="C471" i="11"/>
  <c r="B471" i="11"/>
  <c r="A471" i="11"/>
  <c r="F470" i="11"/>
  <c r="E470" i="11"/>
  <c r="D470" i="11"/>
  <c r="C470" i="11"/>
  <c r="B470" i="11"/>
  <c r="A470" i="11"/>
  <c r="AC468" i="11"/>
  <c r="AB468" i="11"/>
  <c r="AA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H468" i="11"/>
  <c r="I468" i="11" s="1"/>
  <c r="G468" i="11"/>
  <c r="AQ467" i="11"/>
  <c r="AC467" i="11"/>
  <c r="AB467" i="11"/>
  <c r="AA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G467" i="11"/>
  <c r="AJ465" i="11"/>
  <c r="AH464" i="11"/>
  <c r="W464" i="11"/>
  <c r="I464" i="11"/>
  <c r="H464" i="11"/>
  <c r="AJ464" i="11" s="1"/>
  <c r="AL464" i="11" s="1"/>
  <c r="AH463" i="11"/>
  <c r="H463" i="11"/>
  <c r="AJ463" i="11" s="1"/>
  <c r="AL463" i="11" s="1"/>
  <c r="AH462" i="11"/>
  <c r="W462" i="11"/>
  <c r="I462" i="11"/>
  <c r="H462" i="11"/>
  <c r="AJ462" i="11" s="1"/>
  <c r="AL462" i="11" s="1"/>
  <c r="AH461" i="11"/>
  <c r="AJ461" i="11" s="1"/>
  <c r="AL461" i="11" s="1"/>
  <c r="I461" i="11"/>
  <c r="H461" i="11"/>
  <c r="W461" i="11" s="1"/>
  <c r="AH460" i="11"/>
  <c r="W460" i="11"/>
  <c r="I460" i="11"/>
  <c r="H460" i="11"/>
  <c r="AJ460" i="11" s="1"/>
  <c r="AL460" i="11" s="1"/>
  <c r="AH459" i="11"/>
  <c r="H459" i="11"/>
  <c r="AJ459" i="11" s="1"/>
  <c r="AL459" i="11" s="1"/>
  <c r="AH458" i="11"/>
  <c r="W458" i="11"/>
  <c r="I458" i="11"/>
  <c r="H458" i="11"/>
  <c r="AJ458" i="11" s="1"/>
  <c r="AL458" i="11" s="1"/>
  <c r="AH457" i="11"/>
  <c r="AJ457" i="11" s="1"/>
  <c r="AL457" i="11" s="1"/>
  <c r="I457" i="11"/>
  <c r="H457" i="11"/>
  <c r="W457" i="11" s="1"/>
  <c r="AH456" i="11"/>
  <c r="AJ456" i="11" s="1"/>
  <c r="AL456" i="11" s="1"/>
  <c r="W456" i="11"/>
  <c r="I456" i="11"/>
  <c r="H456" i="11"/>
  <c r="AL455" i="11"/>
  <c r="AH455" i="11"/>
  <c r="H455" i="11"/>
  <c r="AJ455" i="11" s="1"/>
  <c r="AL454" i="11"/>
  <c r="AH454" i="11"/>
  <c r="W454" i="11"/>
  <c r="I454" i="11"/>
  <c r="H454" i="11"/>
  <c r="AJ454" i="11" s="1"/>
  <c r="AH453" i="11"/>
  <c r="AJ453" i="11" s="1"/>
  <c r="AL453" i="11" s="1"/>
  <c r="I453" i="11"/>
  <c r="H453" i="11"/>
  <c r="W453" i="11" s="1"/>
  <c r="AH452" i="11"/>
  <c r="AJ452" i="11" s="1"/>
  <c r="AL452" i="11" s="1"/>
  <c r="W452" i="11"/>
  <c r="I452" i="11"/>
  <c r="H452" i="11"/>
  <c r="AL451" i="11"/>
  <c r="AH451" i="11"/>
  <c r="H451" i="11"/>
  <c r="AJ451" i="11" s="1"/>
  <c r="AH450" i="11"/>
  <c r="W450" i="11"/>
  <c r="I450" i="11"/>
  <c r="H450" i="11"/>
  <c r="AH449" i="11"/>
  <c r="AJ449" i="11" s="1"/>
  <c r="AL449" i="11" s="1"/>
  <c r="I449" i="11"/>
  <c r="H449" i="11"/>
  <c r="W449" i="11" s="1"/>
  <c r="AH448" i="11"/>
  <c r="AJ448" i="11" s="1"/>
  <c r="AL448" i="11" s="1"/>
  <c r="W448" i="11"/>
  <c r="I448" i="11"/>
  <c r="H448" i="11"/>
  <c r="AH447" i="11"/>
  <c r="H447" i="11"/>
  <c r="AJ447" i="11" s="1"/>
  <c r="AL447" i="11" s="1"/>
  <c r="AH446" i="11"/>
  <c r="W446" i="11"/>
  <c r="I446" i="11"/>
  <c r="H446" i="11"/>
  <c r="AJ446" i="11" s="1"/>
  <c r="AL446" i="11" s="1"/>
  <c r="AH445" i="11"/>
  <c r="AJ445" i="11" s="1"/>
  <c r="AL445" i="11" s="1"/>
  <c r="I445" i="11"/>
  <c r="H445" i="11"/>
  <c r="W445" i="11" s="1"/>
  <c r="AH444" i="11"/>
  <c r="AJ444" i="11" s="1"/>
  <c r="AL444" i="11" s="1"/>
  <c r="W444" i="11"/>
  <c r="I444" i="11"/>
  <c r="H444" i="11"/>
  <c r="AH443" i="11"/>
  <c r="H443" i="11"/>
  <c r="AH442" i="11"/>
  <c r="W442" i="11"/>
  <c r="I442" i="11"/>
  <c r="H442" i="11"/>
  <c r="AJ441" i="11"/>
  <c r="AL441" i="11" s="1"/>
  <c r="AH441" i="11"/>
  <c r="I441" i="11"/>
  <c r="H441" i="11"/>
  <c r="W441" i="11" s="1"/>
  <c r="AH440" i="11"/>
  <c r="AJ440" i="11" s="1"/>
  <c r="AL440" i="11" s="1"/>
  <c r="W440" i="11"/>
  <c r="I440" i="11"/>
  <c r="H440" i="11"/>
  <c r="AH439" i="11"/>
  <c r="H439" i="11"/>
  <c r="AH438" i="11"/>
  <c r="W438" i="11"/>
  <c r="I438" i="11"/>
  <c r="H438" i="11"/>
  <c r="AJ437" i="11"/>
  <c r="AL437" i="11" s="1"/>
  <c r="AH437" i="11"/>
  <c r="I437" i="11"/>
  <c r="H437" i="11"/>
  <c r="W437" i="11" s="1"/>
  <c r="AH436" i="11"/>
  <c r="AJ436" i="11" s="1"/>
  <c r="AL436" i="11" s="1"/>
  <c r="W436" i="11"/>
  <c r="I436" i="11"/>
  <c r="H436" i="11"/>
  <c r="AH435" i="11"/>
  <c r="H435" i="11"/>
  <c r="AH434" i="11"/>
  <c r="W434" i="11"/>
  <c r="I434" i="11"/>
  <c r="H434" i="11"/>
  <c r="AH433" i="11"/>
  <c r="H433" i="11"/>
  <c r="AH432" i="11"/>
  <c r="AJ432" i="11" s="1"/>
  <c r="AL432" i="11" s="1"/>
  <c r="W432" i="11"/>
  <c r="I432" i="11"/>
  <c r="H432" i="11"/>
  <c r="AH431" i="11"/>
  <c r="AJ431" i="11" s="1"/>
  <c r="AL431" i="11" s="1"/>
  <c r="H431" i="11"/>
  <c r="AH430" i="11"/>
  <c r="W430" i="11"/>
  <c r="I430" i="11"/>
  <c r="H430" i="11"/>
  <c r="AH429" i="11"/>
  <c r="AJ429" i="11" s="1"/>
  <c r="AL429" i="11" s="1"/>
  <c r="H429" i="11"/>
  <c r="W429" i="11" s="1"/>
  <c r="AL428" i="11"/>
  <c r="AH428" i="11"/>
  <c r="AJ428" i="11" s="1"/>
  <c r="W428" i="11"/>
  <c r="I428" i="11"/>
  <c r="H428" i="11"/>
  <c r="AH427" i="11"/>
  <c r="H427" i="11"/>
  <c r="AH426" i="11"/>
  <c r="W426" i="11"/>
  <c r="I426" i="11"/>
  <c r="H426" i="11"/>
  <c r="AH425" i="11"/>
  <c r="AJ425" i="11" s="1"/>
  <c r="AL425" i="11" s="1"/>
  <c r="I425" i="11"/>
  <c r="H425" i="11"/>
  <c r="W425" i="11" s="1"/>
  <c r="AL424" i="11"/>
  <c r="AH424" i="11"/>
  <c r="AJ424" i="11" s="1"/>
  <c r="W424" i="11"/>
  <c r="I424" i="11"/>
  <c r="H424" i="11"/>
  <c r="AH423" i="11"/>
  <c r="H423" i="11"/>
  <c r="AH422" i="11"/>
  <c r="W422" i="11"/>
  <c r="I422" i="11"/>
  <c r="H422" i="11"/>
  <c r="AJ421" i="11"/>
  <c r="AL421" i="11" s="1"/>
  <c r="AH421" i="11"/>
  <c r="I421" i="11"/>
  <c r="H421" i="11"/>
  <c r="W421" i="11" s="1"/>
  <c r="AH420" i="11"/>
  <c r="AJ420" i="11" s="1"/>
  <c r="AL420" i="11" s="1"/>
  <c r="W420" i="11"/>
  <c r="I420" i="11"/>
  <c r="H420" i="11"/>
  <c r="AJ419" i="11"/>
  <c r="AL419" i="11" s="1"/>
  <c r="AH419" i="11"/>
  <c r="H419" i="11"/>
  <c r="AH418" i="11"/>
  <c r="W418" i="11"/>
  <c r="I418" i="11"/>
  <c r="H418" i="11"/>
  <c r="AQ415" i="11"/>
  <c r="AE415" i="11"/>
  <c r="AC415" i="11"/>
  <c r="AB415" i="11"/>
  <c r="AA415" i="11"/>
  <c r="W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D415" i="11"/>
  <c r="C415" i="11"/>
  <c r="B415" i="11"/>
  <c r="G413" i="11"/>
  <c r="F410" i="11"/>
  <c r="E410" i="11"/>
  <c r="D410" i="11"/>
  <c r="C410" i="11"/>
  <c r="B410" i="11"/>
  <c r="A410" i="11"/>
  <c r="F409" i="11"/>
  <c r="E409" i="11"/>
  <c r="D409" i="11"/>
  <c r="C409" i="11"/>
  <c r="B409" i="11"/>
  <c r="A409" i="11"/>
  <c r="AC407" i="11"/>
  <c r="AB407" i="11"/>
  <c r="AA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G407" i="11"/>
  <c r="AQ406" i="11"/>
  <c r="AC406" i="11"/>
  <c r="AB406" i="11"/>
  <c r="AA406" i="11"/>
  <c r="U406" i="11"/>
  <c r="T406" i="11"/>
  <c r="S406" i="11"/>
  <c r="R406" i="11"/>
  <c r="Q406" i="11"/>
  <c r="P406" i="11"/>
  <c r="O406" i="11"/>
  <c r="N406" i="11"/>
  <c r="M406" i="11"/>
  <c r="L406" i="11"/>
  <c r="AM406" i="11" s="1"/>
  <c r="AN406" i="11" s="1"/>
  <c r="K406" i="11"/>
  <c r="J406" i="11"/>
  <c r="G406" i="11"/>
  <c r="AH404" i="11"/>
  <c r="W404" i="11"/>
  <c r="I404" i="11"/>
  <c r="H404" i="11"/>
  <c r="AH403" i="11"/>
  <c r="H403" i="11"/>
  <c r="AJ403" i="11" s="1"/>
  <c r="AL403" i="11" s="1"/>
  <c r="AH402" i="11"/>
  <c r="AJ402" i="11" s="1"/>
  <c r="AL402" i="11" s="1"/>
  <c r="W402" i="11"/>
  <c r="I402" i="11"/>
  <c r="H402" i="11"/>
  <c r="AH401" i="11"/>
  <c r="H401" i="11"/>
  <c r="AH400" i="11"/>
  <c r="W400" i="11"/>
  <c r="H400" i="11"/>
  <c r="I400" i="11" s="1"/>
  <c r="AH399" i="11"/>
  <c r="H399" i="11"/>
  <c r="AH398" i="11"/>
  <c r="AJ398" i="11" s="1"/>
  <c r="AL398" i="11" s="1"/>
  <c r="I398" i="11"/>
  <c r="H398" i="11"/>
  <c r="W398" i="11" s="1"/>
  <c r="AJ397" i="11"/>
  <c r="AL397" i="11" s="1"/>
  <c r="AH397" i="11"/>
  <c r="W397" i="11"/>
  <c r="I397" i="11"/>
  <c r="H397" i="11"/>
  <c r="AL396" i="11"/>
  <c r="AH396" i="11"/>
  <c r="W396" i="11"/>
  <c r="H396" i="11"/>
  <c r="AJ396" i="11" s="1"/>
  <c r="AH395" i="11"/>
  <c r="H395" i="11"/>
  <c r="AH394" i="11"/>
  <c r="AJ394" i="11" s="1"/>
  <c r="AL394" i="11" s="1"/>
  <c r="I394" i="11"/>
  <c r="H394" i="11"/>
  <c r="W394" i="11" s="1"/>
  <c r="AJ393" i="11"/>
  <c r="AL393" i="11" s="1"/>
  <c r="AH393" i="11"/>
  <c r="W393" i="11"/>
  <c r="I393" i="11"/>
  <c r="H393" i="11"/>
  <c r="AH392" i="11"/>
  <c r="W392" i="11"/>
  <c r="H392" i="11"/>
  <c r="AJ392" i="11" s="1"/>
  <c r="AL392" i="11" s="1"/>
  <c r="AH391" i="11"/>
  <c r="H391" i="11"/>
  <c r="AH390" i="11"/>
  <c r="AJ390" i="11" s="1"/>
  <c r="AL390" i="11" s="1"/>
  <c r="I390" i="11"/>
  <c r="H390" i="11"/>
  <c r="W390" i="11" s="1"/>
  <c r="AJ389" i="11"/>
  <c r="AL389" i="11" s="1"/>
  <c r="AH389" i="11"/>
  <c r="W389" i="11"/>
  <c r="I389" i="11"/>
  <c r="H389" i="11"/>
  <c r="AL388" i="11"/>
  <c r="AH388" i="11"/>
  <c r="W388" i="11"/>
  <c r="H388" i="11"/>
  <c r="AJ388" i="11" s="1"/>
  <c r="AH387" i="11"/>
  <c r="H387" i="11"/>
  <c r="AH386" i="11"/>
  <c r="AJ386" i="11" s="1"/>
  <c r="AL386" i="11" s="1"/>
  <c r="I386" i="11"/>
  <c r="H386" i="11"/>
  <c r="W386" i="11" s="1"/>
  <c r="AJ385" i="11"/>
  <c r="AL385" i="11" s="1"/>
  <c r="AH385" i="11"/>
  <c r="W385" i="11"/>
  <c r="I385" i="11"/>
  <c r="H385" i="11"/>
  <c r="AH384" i="11"/>
  <c r="W384" i="11"/>
  <c r="H384" i="11"/>
  <c r="AJ384" i="11" s="1"/>
  <c r="AL384" i="11" s="1"/>
  <c r="AH383" i="11"/>
  <c r="H383" i="11"/>
  <c r="AH382" i="11"/>
  <c r="AJ382" i="11" s="1"/>
  <c r="AL382" i="11" s="1"/>
  <c r="I382" i="11"/>
  <c r="H382" i="11"/>
  <c r="W382" i="11" s="1"/>
  <c r="AJ381" i="11"/>
  <c r="AL381" i="11" s="1"/>
  <c r="AH381" i="11"/>
  <c r="W381" i="11"/>
  <c r="I381" i="11"/>
  <c r="H381" i="11"/>
  <c r="AH380" i="11"/>
  <c r="W380" i="11"/>
  <c r="H380" i="11"/>
  <c r="AJ380" i="11" s="1"/>
  <c r="AL380" i="11" s="1"/>
  <c r="AH379" i="11"/>
  <c r="H379" i="11"/>
  <c r="AH378" i="11"/>
  <c r="AJ378" i="11" s="1"/>
  <c r="AL378" i="11" s="1"/>
  <c r="I378" i="11"/>
  <c r="H378" i="11"/>
  <c r="W378" i="11" s="1"/>
  <c r="AJ377" i="11"/>
  <c r="AL377" i="11" s="1"/>
  <c r="AH377" i="11"/>
  <c r="W377" i="11"/>
  <c r="I377" i="11"/>
  <c r="H377" i="11"/>
  <c r="AH376" i="11"/>
  <c r="W376" i="11"/>
  <c r="H376" i="11"/>
  <c r="AJ376" i="11" s="1"/>
  <c r="AL376" i="11" s="1"/>
  <c r="AH375" i="11"/>
  <c r="H375" i="11"/>
  <c r="AH374" i="11"/>
  <c r="AJ374" i="11" s="1"/>
  <c r="AL374" i="11" s="1"/>
  <c r="I374" i="11"/>
  <c r="H374" i="11"/>
  <c r="W374" i="11" s="1"/>
  <c r="AJ373" i="11"/>
  <c r="AL373" i="11" s="1"/>
  <c r="AH373" i="11"/>
  <c r="W373" i="11"/>
  <c r="I373" i="11"/>
  <c r="H373" i="11"/>
  <c r="AL372" i="11"/>
  <c r="AH372" i="11"/>
  <c r="W372" i="11"/>
  <c r="H372" i="11"/>
  <c r="AJ372" i="11" s="1"/>
  <c r="AH371" i="11"/>
  <c r="H371" i="11"/>
  <c r="AQ368" i="11"/>
  <c r="AE368" i="11"/>
  <c r="AC368" i="11"/>
  <c r="AB368" i="11"/>
  <c r="AA368" i="11"/>
  <c r="W368" i="11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D368" i="11"/>
  <c r="C368" i="11"/>
  <c r="B368" i="11"/>
  <c r="G366" i="11"/>
  <c r="U363" i="11"/>
  <c r="F363" i="11"/>
  <c r="E363" i="11"/>
  <c r="D363" i="11"/>
  <c r="C363" i="11"/>
  <c r="B363" i="11"/>
  <c r="A363" i="11"/>
  <c r="F362" i="11"/>
  <c r="E362" i="11"/>
  <c r="D362" i="11"/>
  <c r="C362" i="11"/>
  <c r="B362" i="11"/>
  <c r="A362" i="11"/>
  <c r="AC360" i="11"/>
  <c r="AB360" i="11"/>
  <c r="AA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AQ359" i="11"/>
  <c r="AC359" i="11"/>
  <c r="AB359" i="11"/>
  <c r="AA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AJ357" i="11"/>
  <c r="AL357" i="11" s="1"/>
  <c r="AH357" i="11"/>
  <c r="H357" i="11"/>
  <c r="I357" i="11" s="1"/>
  <c r="AH356" i="11"/>
  <c r="W356" i="11"/>
  <c r="H356" i="11"/>
  <c r="AJ355" i="11"/>
  <c r="AL355" i="11" s="1"/>
  <c r="AH355" i="11"/>
  <c r="H355" i="11"/>
  <c r="W355" i="11" s="1"/>
  <c r="AH354" i="11"/>
  <c r="H354" i="11"/>
  <c r="AH353" i="11"/>
  <c r="AJ353" i="11" s="1"/>
  <c r="AL353" i="11" s="1"/>
  <c r="I353" i="11"/>
  <c r="H353" i="11"/>
  <c r="W353" i="11" s="1"/>
  <c r="AJ352" i="11"/>
  <c r="AL352" i="11" s="1"/>
  <c r="AH352" i="11"/>
  <c r="W352" i="11"/>
  <c r="I352" i="11"/>
  <c r="H352" i="11"/>
  <c r="AH351" i="11"/>
  <c r="H351" i="11"/>
  <c r="AH350" i="11"/>
  <c r="H350" i="11"/>
  <c r="I350" i="11" s="1"/>
  <c r="AJ349" i="11"/>
  <c r="AL349" i="11" s="1"/>
  <c r="AH349" i="11"/>
  <c r="I349" i="11"/>
  <c r="H349" i="11"/>
  <c r="W349" i="11" s="1"/>
  <c r="AJ348" i="11"/>
  <c r="AL348" i="11" s="1"/>
  <c r="AH348" i="11"/>
  <c r="W348" i="11"/>
  <c r="I348" i="11"/>
  <c r="H348" i="11"/>
  <c r="AH347" i="11"/>
  <c r="H347" i="11"/>
  <c r="AH346" i="11"/>
  <c r="I346" i="11"/>
  <c r="H346" i="11"/>
  <c r="AH345" i="11"/>
  <c r="AJ345" i="11" s="1"/>
  <c r="AL345" i="11" s="1"/>
  <c r="I345" i="11"/>
  <c r="H345" i="11"/>
  <c r="W345" i="11" s="1"/>
  <c r="AJ344" i="11"/>
  <c r="AL344" i="11" s="1"/>
  <c r="AH344" i="11"/>
  <c r="W344" i="11"/>
  <c r="I344" i="11"/>
  <c r="H344" i="11"/>
  <c r="AH343" i="11"/>
  <c r="H343" i="11"/>
  <c r="W343" i="11" s="1"/>
  <c r="AH342" i="11"/>
  <c r="H342" i="11"/>
  <c r="H359" i="11" s="1"/>
  <c r="AH341" i="11"/>
  <c r="AJ341" i="11" s="1"/>
  <c r="AL341" i="11" s="1"/>
  <c r="I341" i="11"/>
  <c r="H341" i="11"/>
  <c r="W341" i="11" s="1"/>
  <c r="AL340" i="11"/>
  <c r="AJ340" i="11"/>
  <c r="AH340" i="11"/>
  <c r="W340" i="11"/>
  <c r="I340" i="11"/>
  <c r="H340" i="11"/>
  <c r="AQ337" i="11"/>
  <c r="AE337" i="11"/>
  <c r="AC337" i="11"/>
  <c r="AB337" i="11"/>
  <c r="AA337" i="11"/>
  <c r="W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D337" i="11"/>
  <c r="C337" i="11"/>
  <c r="B337" i="11"/>
  <c r="G335" i="11"/>
  <c r="F332" i="11"/>
  <c r="E332" i="11"/>
  <c r="D332" i="11"/>
  <c r="C332" i="11"/>
  <c r="B332" i="11"/>
  <c r="A332" i="11"/>
  <c r="F331" i="11"/>
  <c r="E331" i="11"/>
  <c r="D331" i="11"/>
  <c r="C331" i="11"/>
  <c r="B331" i="11"/>
  <c r="A331" i="11"/>
  <c r="AC329" i="11"/>
  <c r="AB329" i="11"/>
  <c r="AA329" i="11"/>
  <c r="U329" i="11"/>
  <c r="T329" i="11"/>
  <c r="S329" i="11"/>
  <c r="R329" i="11"/>
  <c r="Q329" i="11"/>
  <c r="P329" i="11"/>
  <c r="O329" i="11"/>
  <c r="N329" i="11"/>
  <c r="M329" i="11"/>
  <c r="L329" i="11"/>
  <c r="K329" i="11"/>
  <c r="H329" i="11" s="1"/>
  <c r="I329" i="11" s="1"/>
  <c r="J329" i="11"/>
  <c r="G329" i="11"/>
  <c r="AQ328" i="11"/>
  <c r="AH328" i="11"/>
  <c r="AC328" i="11"/>
  <c r="AB328" i="11"/>
  <c r="AA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AM328" i="11" s="1"/>
  <c r="AN328" i="11" s="1"/>
  <c r="G328" i="11"/>
  <c r="AJ326" i="11"/>
  <c r="AL326" i="11" s="1"/>
  <c r="AH326" i="11"/>
  <c r="H326" i="11"/>
  <c r="W326" i="11" s="1"/>
  <c r="AJ325" i="11"/>
  <c r="AL325" i="11" s="1"/>
  <c r="AH325" i="11"/>
  <c r="W325" i="11"/>
  <c r="I325" i="11"/>
  <c r="H325" i="11"/>
  <c r="AH324" i="11"/>
  <c r="W324" i="11"/>
  <c r="H324" i="11"/>
  <c r="I324" i="11" s="1"/>
  <c r="AH323" i="11"/>
  <c r="W323" i="11"/>
  <c r="H323" i="11"/>
  <c r="AH322" i="11"/>
  <c r="I322" i="11"/>
  <c r="H322" i="11"/>
  <c r="W322" i="11" s="1"/>
  <c r="AJ321" i="11"/>
  <c r="AL321" i="11" s="1"/>
  <c r="AH321" i="11"/>
  <c r="W321" i="11"/>
  <c r="I321" i="11"/>
  <c r="H321" i="11"/>
  <c r="AJ320" i="11"/>
  <c r="AL320" i="11" s="1"/>
  <c r="AH320" i="11"/>
  <c r="W320" i="11"/>
  <c r="H320" i="11"/>
  <c r="I320" i="11" s="1"/>
  <c r="AH319" i="11"/>
  <c r="H319" i="11"/>
  <c r="AJ318" i="11"/>
  <c r="AL318" i="11" s="1"/>
  <c r="AH318" i="11"/>
  <c r="I318" i="11"/>
  <c r="H318" i="11"/>
  <c r="W318" i="11" s="1"/>
  <c r="AJ317" i="11"/>
  <c r="AL317" i="11" s="1"/>
  <c r="AH317" i="11"/>
  <c r="W317" i="11"/>
  <c r="I317" i="11"/>
  <c r="H317" i="11"/>
  <c r="AJ316" i="11"/>
  <c r="AL316" i="11" s="1"/>
  <c r="AH316" i="11"/>
  <c r="W316" i="11"/>
  <c r="H316" i="11"/>
  <c r="I316" i="11" s="1"/>
  <c r="AH315" i="11"/>
  <c r="W315" i="11"/>
  <c r="H315" i="11"/>
  <c r="AJ314" i="11"/>
  <c r="AL314" i="11" s="1"/>
  <c r="AH314" i="11"/>
  <c r="I314" i="11"/>
  <c r="H314" i="11"/>
  <c r="W314" i="11" s="1"/>
  <c r="AJ313" i="11"/>
  <c r="AL313" i="11" s="1"/>
  <c r="AH313" i="11"/>
  <c r="W313" i="11"/>
  <c r="I313" i="11"/>
  <c r="H313" i="11"/>
  <c r="AJ312" i="11"/>
  <c r="AL312" i="11" s="1"/>
  <c r="AH312" i="11"/>
  <c r="H312" i="11"/>
  <c r="AQ309" i="11"/>
  <c r="AE309" i="11"/>
  <c r="AC309" i="11"/>
  <c r="AB309" i="11"/>
  <c r="AA309" i="11"/>
  <c r="W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D309" i="11"/>
  <c r="C309" i="11"/>
  <c r="B309" i="11"/>
  <c r="G307" i="11"/>
  <c r="F304" i="11"/>
  <c r="E304" i="11"/>
  <c r="D304" i="11"/>
  <c r="C304" i="11"/>
  <c r="B304" i="11"/>
  <c r="A304" i="11"/>
  <c r="F303" i="11"/>
  <c r="E303" i="11"/>
  <c r="D303" i="11"/>
  <c r="C303" i="11"/>
  <c r="B303" i="11"/>
  <c r="A303" i="11"/>
  <c r="AC301" i="11"/>
  <c r="AB301" i="11"/>
  <c r="AA301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AQ300" i="11"/>
  <c r="AC300" i="11"/>
  <c r="AB300" i="11"/>
  <c r="AA300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AH298" i="11"/>
  <c r="AJ298" i="11" s="1"/>
  <c r="AL298" i="11" s="1"/>
  <c r="I298" i="11"/>
  <c r="H298" i="11"/>
  <c r="W298" i="11" s="1"/>
  <c r="AL297" i="11"/>
  <c r="AJ297" i="11"/>
  <c r="AH297" i="11"/>
  <c r="W297" i="11"/>
  <c r="I297" i="11"/>
  <c r="H297" i="11"/>
  <c r="AH296" i="11"/>
  <c r="W296" i="11"/>
  <c r="H296" i="11"/>
  <c r="AH295" i="11"/>
  <c r="H295" i="11"/>
  <c r="AH294" i="11"/>
  <c r="AJ294" i="11" s="1"/>
  <c r="AL294" i="11" s="1"/>
  <c r="W294" i="11"/>
  <c r="I294" i="11"/>
  <c r="H294" i="11"/>
  <c r="AL293" i="11"/>
  <c r="AJ293" i="11"/>
  <c r="AH293" i="11"/>
  <c r="W293" i="11"/>
  <c r="I293" i="11"/>
  <c r="H293" i="11"/>
  <c r="AH292" i="11"/>
  <c r="W292" i="11"/>
  <c r="H292" i="11"/>
  <c r="AH291" i="11"/>
  <c r="I291" i="11"/>
  <c r="H291" i="11"/>
  <c r="AH290" i="11"/>
  <c r="AJ290" i="11" s="1"/>
  <c r="AL290" i="11" s="1"/>
  <c r="W290" i="11"/>
  <c r="I290" i="11"/>
  <c r="H290" i="11"/>
  <c r="AJ289" i="11"/>
  <c r="AL289" i="11" s="1"/>
  <c r="AH289" i="11"/>
  <c r="W289" i="11"/>
  <c r="I289" i="11"/>
  <c r="H289" i="11"/>
  <c r="AH288" i="11"/>
  <c r="H288" i="11"/>
  <c r="AH287" i="11"/>
  <c r="H287" i="11"/>
  <c r="AH286" i="11"/>
  <c r="AJ286" i="11" s="1"/>
  <c r="AL286" i="11" s="1"/>
  <c r="W286" i="11"/>
  <c r="I286" i="11"/>
  <c r="H286" i="11"/>
  <c r="AJ285" i="11"/>
  <c r="AL285" i="11" s="1"/>
  <c r="AH285" i="11"/>
  <c r="W285" i="11"/>
  <c r="I285" i="11"/>
  <c r="H285" i="11"/>
  <c r="AH284" i="11"/>
  <c r="H284" i="11"/>
  <c r="AH283" i="11"/>
  <c r="I283" i="11"/>
  <c r="H283" i="11"/>
  <c r="AH282" i="11"/>
  <c r="AJ282" i="11" s="1"/>
  <c r="AL282" i="11" s="1"/>
  <c r="W282" i="11"/>
  <c r="I282" i="11"/>
  <c r="H282" i="11"/>
  <c r="AJ281" i="11"/>
  <c r="AL281" i="11" s="1"/>
  <c r="AH281" i="11"/>
  <c r="W281" i="11"/>
  <c r="I281" i="11"/>
  <c r="H281" i="11"/>
  <c r="AH280" i="11"/>
  <c r="H280" i="11"/>
  <c r="AH279" i="11"/>
  <c r="I279" i="11"/>
  <c r="H279" i="11"/>
  <c r="AH278" i="11"/>
  <c r="AJ278" i="11" s="1"/>
  <c r="AL278" i="11" s="1"/>
  <c r="W278" i="11"/>
  <c r="I278" i="11"/>
  <c r="H278" i="11"/>
  <c r="AL277" i="11"/>
  <c r="AJ277" i="11"/>
  <c r="AH277" i="11"/>
  <c r="W277" i="11"/>
  <c r="I277" i="11"/>
  <c r="H277" i="11"/>
  <c r="AH276" i="11"/>
  <c r="W276" i="11"/>
  <c r="H276" i="11"/>
  <c r="AH275" i="11"/>
  <c r="I275" i="11"/>
  <c r="H275" i="11"/>
  <c r="AQ272" i="11"/>
  <c r="AE272" i="11"/>
  <c r="AC272" i="11"/>
  <c r="AB272" i="11"/>
  <c r="AA272" i="11"/>
  <c r="W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D272" i="11"/>
  <c r="C272" i="11"/>
  <c r="B272" i="11"/>
  <c r="G270" i="11"/>
  <c r="F267" i="11"/>
  <c r="E267" i="11"/>
  <c r="D267" i="11"/>
  <c r="C267" i="11"/>
  <c r="B267" i="11"/>
  <c r="A267" i="11"/>
  <c r="F266" i="11"/>
  <c r="E266" i="11"/>
  <c r="D266" i="11"/>
  <c r="C266" i="11"/>
  <c r="B266" i="11"/>
  <c r="A266" i="11"/>
  <c r="AC264" i="11"/>
  <c r="AB264" i="11"/>
  <c r="AA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G264" i="11"/>
  <c r="AS263" i="11"/>
  <c r="AQ263" i="11"/>
  <c r="AC263" i="11"/>
  <c r="AB263" i="11"/>
  <c r="AA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G263" i="11"/>
  <c r="AH261" i="11"/>
  <c r="AJ261" i="11" s="1"/>
  <c r="AL261" i="11" s="1"/>
  <c r="W261" i="11"/>
  <c r="I261" i="11"/>
  <c r="H261" i="11"/>
  <c r="AJ260" i="11"/>
  <c r="AL260" i="11" s="1"/>
  <c r="AH260" i="11"/>
  <c r="I260" i="11"/>
  <c r="H260" i="11"/>
  <c r="W260" i="11" s="1"/>
  <c r="AH259" i="11"/>
  <c r="W259" i="11"/>
  <c r="H259" i="11"/>
  <c r="I259" i="11" s="1"/>
  <c r="AH258" i="11"/>
  <c r="H258" i="11"/>
  <c r="AH257" i="11"/>
  <c r="AJ257" i="11" s="1"/>
  <c r="AL257" i="11" s="1"/>
  <c r="W257" i="11"/>
  <c r="I257" i="11"/>
  <c r="H257" i="11"/>
  <c r="AL256" i="11"/>
  <c r="AJ256" i="11"/>
  <c r="AH256" i="11"/>
  <c r="I256" i="11"/>
  <c r="H256" i="11"/>
  <c r="W256" i="11" s="1"/>
  <c r="AH255" i="11"/>
  <c r="W255" i="11"/>
  <c r="H255" i="11"/>
  <c r="I255" i="11" s="1"/>
  <c r="AH254" i="11"/>
  <c r="I254" i="11"/>
  <c r="H254" i="11"/>
  <c r="AH253" i="11"/>
  <c r="AJ253" i="11" s="1"/>
  <c r="AL253" i="11" s="1"/>
  <c r="W253" i="11"/>
  <c r="I253" i="11"/>
  <c r="H253" i="11"/>
  <c r="AL252" i="11"/>
  <c r="AJ252" i="11"/>
  <c r="AH252" i="11"/>
  <c r="I252" i="11"/>
  <c r="H252" i="11"/>
  <c r="W252" i="11" s="1"/>
  <c r="AH251" i="11"/>
  <c r="W251" i="11"/>
  <c r="H251" i="11"/>
  <c r="I251" i="11" s="1"/>
  <c r="AH250" i="11"/>
  <c r="H250" i="11"/>
  <c r="AH249" i="11"/>
  <c r="AJ249" i="11" s="1"/>
  <c r="AL249" i="11" s="1"/>
  <c r="W249" i="11"/>
  <c r="I249" i="11"/>
  <c r="H249" i="11"/>
  <c r="AJ248" i="11"/>
  <c r="AL248" i="11" s="1"/>
  <c r="AH248" i="11"/>
  <c r="I248" i="11"/>
  <c r="H248" i="11"/>
  <c r="W248" i="11" s="1"/>
  <c r="AH247" i="11"/>
  <c r="W247" i="11"/>
  <c r="H247" i="11"/>
  <c r="I247" i="11" s="1"/>
  <c r="AH246" i="11"/>
  <c r="H246" i="11"/>
  <c r="AH245" i="11"/>
  <c r="AJ245" i="11" s="1"/>
  <c r="AL245" i="11" s="1"/>
  <c r="W245" i="11"/>
  <c r="I245" i="11"/>
  <c r="H245" i="11"/>
  <c r="AL244" i="11"/>
  <c r="AJ244" i="11"/>
  <c r="AH244" i="11"/>
  <c r="I244" i="11"/>
  <c r="H244" i="11"/>
  <c r="W244" i="11" s="1"/>
  <c r="AH243" i="11"/>
  <c r="W243" i="11"/>
  <c r="H243" i="11"/>
  <c r="I243" i="11" s="1"/>
  <c r="AH242" i="11"/>
  <c r="H242" i="11"/>
  <c r="W242" i="11" s="1"/>
  <c r="AH241" i="11"/>
  <c r="AJ241" i="11" s="1"/>
  <c r="AL241" i="11" s="1"/>
  <c r="W241" i="11"/>
  <c r="I241" i="11"/>
  <c r="H241" i="11"/>
  <c r="AJ240" i="11"/>
  <c r="AL240" i="11" s="1"/>
  <c r="AH240" i="11"/>
  <c r="H240" i="11"/>
  <c r="W240" i="11" s="1"/>
  <c r="AH239" i="11"/>
  <c r="W239" i="11"/>
  <c r="H239" i="11"/>
  <c r="I239" i="11" s="1"/>
  <c r="AL238" i="11"/>
  <c r="AH238" i="11"/>
  <c r="AJ238" i="11" s="1"/>
  <c r="I238" i="11"/>
  <c r="H238" i="11"/>
  <c r="W238" i="11" s="1"/>
  <c r="AH237" i="11"/>
  <c r="AJ237" i="11" s="1"/>
  <c r="AL237" i="11" s="1"/>
  <c r="W237" i="11"/>
  <c r="I237" i="11"/>
  <c r="H237" i="11"/>
  <c r="AJ236" i="11"/>
  <c r="AL236" i="11" s="1"/>
  <c r="AH236" i="11"/>
  <c r="H236" i="11"/>
  <c r="W236" i="11" s="1"/>
  <c r="AH235" i="11"/>
  <c r="W235" i="11"/>
  <c r="H235" i="11"/>
  <c r="I235" i="11" s="1"/>
  <c r="AL234" i="11"/>
  <c r="AJ234" i="11"/>
  <c r="AH234" i="11"/>
  <c r="I234" i="11"/>
  <c r="H234" i="11"/>
  <c r="W234" i="11" s="1"/>
  <c r="AH233" i="11"/>
  <c r="AJ233" i="11" s="1"/>
  <c r="AL233" i="11" s="1"/>
  <c r="W233" i="11"/>
  <c r="I233" i="11"/>
  <c r="H233" i="11"/>
  <c r="AH232" i="11"/>
  <c r="H232" i="11"/>
  <c r="W232" i="11" s="1"/>
  <c r="AH231" i="11"/>
  <c r="W231" i="11"/>
  <c r="H231" i="11"/>
  <c r="I231" i="11" s="1"/>
  <c r="AH230" i="11"/>
  <c r="H230" i="11"/>
  <c r="AE227" i="11"/>
  <c r="AC227" i="11"/>
  <c r="AB227" i="11"/>
  <c r="AA227" i="11"/>
  <c r="W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D227" i="11"/>
  <c r="C227" i="11"/>
  <c r="B227" i="11"/>
  <c r="G225" i="11"/>
  <c r="F222" i="11"/>
  <c r="E222" i="11"/>
  <c r="D222" i="11"/>
  <c r="C222" i="11"/>
  <c r="B222" i="11"/>
  <c r="A222" i="11"/>
  <c r="F221" i="11"/>
  <c r="E221" i="11"/>
  <c r="D221" i="11"/>
  <c r="C221" i="11"/>
  <c r="B221" i="11"/>
  <c r="A221" i="11"/>
  <c r="AC219" i="11"/>
  <c r="AB219" i="11"/>
  <c r="AA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G219" i="11"/>
  <c r="AQ218" i="11"/>
  <c r="AC218" i="11"/>
  <c r="AB218" i="11"/>
  <c r="AA218" i="11"/>
  <c r="U218" i="11"/>
  <c r="S218" i="11"/>
  <c r="R218" i="11"/>
  <c r="Q218" i="11"/>
  <c r="P218" i="11"/>
  <c r="O218" i="11"/>
  <c r="N218" i="11"/>
  <c r="M218" i="11"/>
  <c r="L218" i="11"/>
  <c r="K218" i="11"/>
  <c r="AM218" i="11" s="1"/>
  <c r="AN218" i="11" s="1"/>
  <c r="J218" i="11"/>
  <c r="G218" i="11"/>
  <c r="AH216" i="11"/>
  <c r="AJ216" i="11" s="1"/>
  <c r="AL216" i="11" s="1"/>
  <c r="W216" i="11"/>
  <c r="I216" i="11"/>
  <c r="H216" i="11"/>
  <c r="AH215" i="11"/>
  <c r="I215" i="11"/>
  <c r="H215" i="11"/>
  <c r="W215" i="11" s="1"/>
  <c r="AH214" i="11"/>
  <c r="W214" i="11"/>
  <c r="H214" i="11"/>
  <c r="I214" i="11" s="1"/>
  <c r="AH213" i="11"/>
  <c r="H213" i="11"/>
  <c r="W213" i="11" s="1"/>
  <c r="AH212" i="11"/>
  <c r="AJ212" i="11" s="1"/>
  <c r="AL212" i="11" s="1"/>
  <c r="W212" i="11"/>
  <c r="I212" i="11"/>
  <c r="H212" i="11"/>
  <c r="AJ211" i="11"/>
  <c r="AL211" i="11" s="1"/>
  <c r="AH211" i="11"/>
  <c r="H211" i="11"/>
  <c r="W211" i="11" s="1"/>
  <c r="AH210" i="11"/>
  <c r="W210" i="11"/>
  <c r="H210" i="11"/>
  <c r="I210" i="11" s="1"/>
  <c r="AL209" i="11"/>
  <c r="AH209" i="11"/>
  <c r="AJ209" i="11" s="1"/>
  <c r="I209" i="11"/>
  <c r="H209" i="11"/>
  <c r="W209" i="11" s="1"/>
  <c r="AH208" i="11"/>
  <c r="AJ208" i="11" s="1"/>
  <c r="AL208" i="11" s="1"/>
  <c r="W208" i="11"/>
  <c r="I208" i="11"/>
  <c r="H208" i="11"/>
  <c r="AH207" i="11"/>
  <c r="H207" i="11"/>
  <c r="W207" i="11" s="1"/>
  <c r="AH206" i="11"/>
  <c r="W206" i="11"/>
  <c r="H206" i="11"/>
  <c r="G206" i="11"/>
  <c r="AL205" i="11"/>
  <c r="AJ205" i="11"/>
  <c r="AH205" i="11"/>
  <c r="W205" i="11"/>
  <c r="I205" i="11"/>
  <c r="H205" i="11"/>
  <c r="AH204" i="11"/>
  <c r="AJ204" i="11" s="1"/>
  <c r="AL204" i="11" s="1"/>
  <c r="W204" i="11"/>
  <c r="H204" i="11"/>
  <c r="I204" i="11" s="1"/>
  <c r="AL203" i="11"/>
  <c r="AH203" i="11"/>
  <c r="W203" i="11"/>
  <c r="I203" i="11"/>
  <c r="H203" i="11"/>
  <c r="AJ203" i="11" s="1"/>
  <c r="AH202" i="11"/>
  <c r="AJ202" i="11" s="1"/>
  <c r="AL202" i="11" s="1"/>
  <c r="H202" i="11"/>
  <c r="AL201" i="11"/>
  <c r="AJ201" i="11"/>
  <c r="AH201" i="11"/>
  <c r="W201" i="11"/>
  <c r="I201" i="11"/>
  <c r="H201" i="11"/>
  <c r="AJ200" i="11"/>
  <c r="AL200" i="11" s="1"/>
  <c r="AH200" i="11"/>
  <c r="W200" i="11"/>
  <c r="H200" i="11"/>
  <c r="I200" i="11" s="1"/>
  <c r="AH199" i="11"/>
  <c r="H199" i="11"/>
  <c r="AJ199" i="11" s="1"/>
  <c r="AL199" i="11" s="1"/>
  <c r="G199" i="11"/>
  <c r="AH198" i="11"/>
  <c r="I198" i="11"/>
  <c r="H198" i="11"/>
  <c r="W198" i="11" s="1"/>
  <c r="AH197" i="11"/>
  <c r="W197" i="11"/>
  <c r="H197" i="11"/>
  <c r="I197" i="11" s="1"/>
  <c r="AH196" i="11"/>
  <c r="H196" i="11"/>
  <c r="W196" i="11" s="1"/>
  <c r="AH195" i="11"/>
  <c r="AJ195" i="11" s="1"/>
  <c r="AL195" i="11" s="1"/>
  <c r="W195" i="11"/>
  <c r="I195" i="11"/>
  <c r="H195" i="11"/>
  <c r="AJ194" i="11"/>
  <c r="AL194" i="11" s="1"/>
  <c r="AH194" i="11"/>
  <c r="H194" i="11"/>
  <c r="W194" i="11" s="1"/>
  <c r="AH193" i="11"/>
  <c r="W193" i="11"/>
  <c r="H193" i="11"/>
  <c r="I193" i="11" s="1"/>
  <c r="AH192" i="11"/>
  <c r="AJ192" i="11" s="1"/>
  <c r="AL192" i="11" s="1"/>
  <c r="I192" i="11"/>
  <c r="H192" i="11"/>
  <c r="W192" i="11" s="1"/>
  <c r="AH191" i="11"/>
  <c r="AJ191" i="11" s="1"/>
  <c r="AL191" i="11" s="1"/>
  <c r="W191" i="11"/>
  <c r="I191" i="11"/>
  <c r="H191" i="11"/>
  <c r="AH190" i="11"/>
  <c r="H190" i="11"/>
  <c r="W190" i="11" s="1"/>
  <c r="AH189" i="11"/>
  <c r="W189" i="11"/>
  <c r="H189" i="11"/>
  <c r="I189" i="11" s="1"/>
  <c r="AH188" i="11"/>
  <c r="T188" i="11"/>
  <c r="H188" i="11" s="1"/>
  <c r="W188" i="11" s="1"/>
  <c r="AH187" i="11"/>
  <c r="H187" i="11"/>
  <c r="I187" i="11" s="1"/>
  <c r="AL186" i="11"/>
  <c r="AH186" i="11"/>
  <c r="W186" i="11"/>
  <c r="H186" i="11"/>
  <c r="AJ186" i="11" s="1"/>
  <c r="AJ185" i="11"/>
  <c r="AL185" i="11" s="1"/>
  <c r="AH185" i="11"/>
  <c r="H185" i="11"/>
  <c r="AL184" i="11"/>
  <c r="AJ184" i="11"/>
  <c r="AH184" i="11"/>
  <c r="W184" i="11"/>
  <c r="I184" i="11"/>
  <c r="H184" i="11"/>
  <c r="AH183" i="11"/>
  <c r="AJ183" i="11" s="1"/>
  <c r="AL183" i="11" s="1"/>
  <c r="W183" i="11"/>
  <c r="H183" i="11"/>
  <c r="I183" i="11" s="1"/>
  <c r="AL182" i="11"/>
  <c r="AH182" i="11"/>
  <c r="W182" i="11"/>
  <c r="I182" i="11"/>
  <c r="H182" i="11"/>
  <c r="AJ182" i="11" s="1"/>
  <c r="AH181" i="11"/>
  <c r="AJ181" i="11" s="1"/>
  <c r="AL181" i="11" s="1"/>
  <c r="H181" i="11"/>
  <c r="AL180" i="11"/>
  <c r="AJ180" i="11"/>
  <c r="AH180" i="11"/>
  <c r="W180" i="11"/>
  <c r="I180" i="11"/>
  <c r="H180" i="11"/>
  <c r="AJ179" i="11"/>
  <c r="AL179" i="11" s="1"/>
  <c r="AH179" i="11"/>
  <c r="W179" i="11"/>
  <c r="H179" i="11"/>
  <c r="I179" i="11" s="1"/>
  <c r="AH178" i="11"/>
  <c r="H178" i="11"/>
  <c r="AJ178" i="11" s="1"/>
  <c r="AL178" i="11" s="1"/>
  <c r="AH177" i="11"/>
  <c r="H177" i="11"/>
  <c r="AJ176" i="11"/>
  <c r="AL176" i="11" s="1"/>
  <c r="AH176" i="11"/>
  <c r="W176" i="11"/>
  <c r="I176" i="11"/>
  <c r="H176" i="11"/>
  <c r="AH175" i="11"/>
  <c r="H175" i="11"/>
  <c r="AH174" i="11"/>
  <c r="H174" i="11"/>
  <c r="H218" i="11" s="1"/>
  <c r="AQ171" i="11"/>
  <c r="AE171" i="11"/>
  <c r="AC171" i="11"/>
  <c r="AB171" i="11"/>
  <c r="AA171" i="11"/>
  <c r="W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D171" i="11"/>
  <c r="C171" i="11"/>
  <c r="B171" i="11"/>
  <c r="G169" i="11"/>
  <c r="F166" i="11"/>
  <c r="E166" i="11"/>
  <c r="D166" i="11"/>
  <c r="C166" i="11"/>
  <c r="B166" i="11"/>
  <c r="A166" i="11"/>
  <c r="F165" i="11"/>
  <c r="E165" i="11"/>
  <c r="D165" i="11"/>
  <c r="C165" i="11"/>
  <c r="B165" i="11"/>
  <c r="A165" i="11"/>
  <c r="AC163" i="11"/>
  <c r="AB163" i="11"/>
  <c r="AA163" i="11"/>
  <c r="U163" i="11"/>
  <c r="T163" i="11"/>
  <c r="S163" i="11"/>
  <c r="R163" i="11"/>
  <c r="Q163" i="11"/>
  <c r="P163" i="11"/>
  <c r="O163" i="11"/>
  <c r="N163" i="11"/>
  <c r="M163" i="11"/>
  <c r="H163" i="11" s="1"/>
  <c r="I163" i="11" s="1"/>
  <c r="L163" i="11"/>
  <c r="K163" i="11"/>
  <c r="J163" i="11"/>
  <c r="G163" i="11"/>
  <c r="AQ162" i="11"/>
  <c r="AO162" i="11"/>
  <c r="AC162" i="11"/>
  <c r="AB162" i="11"/>
  <c r="AA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AM162" i="11" s="1"/>
  <c r="AN162" i="11" s="1"/>
  <c r="G162" i="11"/>
  <c r="AH160" i="11"/>
  <c r="H160" i="11"/>
  <c r="AH159" i="11"/>
  <c r="W159" i="11"/>
  <c r="H159" i="11"/>
  <c r="I159" i="11" s="1"/>
  <c r="AJ158" i="11"/>
  <c r="AL158" i="11" s="1"/>
  <c r="AH158" i="11"/>
  <c r="I158" i="11"/>
  <c r="H158" i="11"/>
  <c r="W158" i="11" s="1"/>
  <c r="AH157" i="11"/>
  <c r="W157" i="11"/>
  <c r="I157" i="11"/>
  <c r="H157" i="11"/>
  <c r="AJ157" i="11" s="1"/>
  <c r="AL157" i="11" s="1"/>
  <c r="AH156" i="11"/>
  <c r="H156" i="11"/>
  <c r="W156" i="11" s="1"/>
  <c r="AH155" i="11"/>
  <c r="W155" i="11"/>
  <c r="H155" i="11"/>
  <c r="I155" i="11" s="1"/>
  <c r="AH154" i="11"/>
  <c r="H154" i="11"/>
  <c r="AH153" i="11"/>
  <c r="W153" i="11"/>
  <c r="I153" i="11"/>
  <c r="H153" i="11"/>
  <c r="AH152" i="11"/>
  <c r="I152" i="11"/>
  <c r="H152" i="11"/>
  <c r="W152" i="11" s="1"/>
  <c r="AH151" i="11"/>
  <c r="W151" i="11"/>
  <c r="I151" i="11"/>
  <c r="H151" i="11"/>
  <c r="AH150" i="11"/>
  <c r="H150" i="11"/>
  <c r="AH149" i="11"/>
  <c r="W149" i="11"/>
  <c r="I149" i="11"/>
  <c r="H149" i="11"/>
  <c r="AH148" i="11"/>
  <c r="AJ148" i="11" s="1"/>
  <c r="AL148" i="11" s="1"/>
  <c r="I148" i="11"/>
  <c r="H148" i="11"/>
  <c r="W148" i="11" s="1"/>
  <c r="AJ147" i="11"/>
  <c r="AL147" i="11" s="1"/>
  <c r="AH147" i="11"/>
  <c r="W147" i="11"/>
  <c r="I147" i="11"/>
  <c r="H147" i="11"/>
  <c r="AL146" i="11"/>
  <c r="AH146" i="11"/>
  <c r="W146" i="11"/>
  <c r="H146" i="11"/>
  <c r="AJ146" i="11" s="1"/>
  <c r="AH145" i="11"/>
  <c r="H145" i="11"/>
  <c r="AH144" i="11"/>
  <c r="AJ144" i="11" s="1"/>
  <c r="AL144" i="11" s="1"/>
  <c r="I144" i="11"/>
  <c r="H144" i="11"/>
  <c r="W144" i="11" s="1"/>
  <c r="AJ143" i="11"/>
  <c r="AL143" i="11" s="1"/>
  <c r="AH143" i="11"/>
  <c r="W143" i="11"/>
  <c r="I143" i="11"/>
  <c r="H143" i="11"/>
  <c r="AL142" i="11"/>
  <c r="AH142" i="11"/>
  <c r="W142" i="11"/>
  <c r="H142" i="11"/>
  <c r="AJ142" i="11" s="1"/>
  <c r="AH141" i="11"/>
  <c r="H141" i="11"/>
  <c r="AH140" i="11"/>
  <c r="AJ140" i="11" s="1"/>
  <c r="AL140" i="11" s="1"/>
  <c r="I140" i="11"/>
  <c r="H140" i="11"/>
  <c r="W140" i="11" s="1"/>
  <c r="AJ139" i="11"/>
  <c r="AL139" i="11" s="1"/>
  <c r="AH139" i="11"/>
  <c r="W139" i="11"/>
  <c r="I139" i="11"/>
  <c r="H139" i="11"/>
  <c r="AH138" i="11"/>
  <c r="W138" i="11"/>
  <c r="H138" i="11"/>
  <c r="AJ138" i="11" s="1"/>
  <c r="AL138" i="11" s="1"/>
  <c r="W137" i="11"/>
  <c r="H137" i="11"/>
  <c r="AJ137" i="11" s="1"/>
  <c r="AL137" i="11" s="1"/>
  <c r="AJ136" i="11"/>
  <c r="AL136" i="11" s="1"/>
  <c r="AH136" i="11"/>
  <c r="W136" i="11"/>
  <c r="I136" i="11"/>
  <c r="H136" i="11"/>
  <c r="AH135" i="11"/>
  <c r="W135" i="11"/>
  <c r="H135" i="11"/>
  <c r="AJ135" i="11" s="1"/>
  <c r="AL135" i="11" s="1"/>
  <c r="AH134" i="11"/>
  <c r="H134" i="11"/>
  <c r="AQ131" i="11"/>
  <c r="AE131" i="11"/>
  <c r="AC131" i="11"/>
  <c r="AB131" i="11"/>
  <c r="AA131" i="11"/>
  <c r="W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D131" i="11"/>
  <c r="C131" i="11"/>
  <c r="B131" i="11"/>
  <c r="G129" i="11"/>
  <c r="P126" i="11"/>
  <c r="N126" i="11"/>
  <c r="F126" i="11"/>
  <c r="E126" i="11"/>
  <c r="D126" i="11"/>
  <c r="C126" i="11"/>
  <c r="B126" i="11"/>
  <c r="A126" i="11"/>
  <c r="O125" i="11"/>
  <c r="F125" i="11"/>
  <c r="E125" i="11"/>
  <c r="D125" i="11"/>
  <c r="C125" i="11"/>
  <c r="B125" i="11"/>
  <c r="A125" i="11"/>
  <c r="AC123" i="11"/>
  <c r="AB123" i="11"/>
  <c r="AA123" i="11"/>
  <c r="U123" i="11"/>
  <c r="T123" i="11"/>
  <c r="S123" i="11"/>
  <c r="R123" i="11"/>
  <c r="Q123" i="11"/>
  <c r="P123" i="11"/>
  <c r="O123" i="11"/>
  <c r="N123" i="11"/>
  <c r="M123" i="11"/>
  <c r="L123" i="11"/>
  <c r="H123" i="11" s="1"/>
  <c r="I123" i="11" s="1"/>
  <c r="K123" i="11"/>
  <c r="J123" i="11"/>
  <c r="G123" i="11"/>
  <c r="AQ122" i="11"/>
  <c r="AC122" i="11"/>
  <c r="AB122" i="11"/>
  <c r="AA122" i="11"/>
  <c r="T122" i="11"/>
  <c r="S122" i="11"/>
  <c r="R122" i="11"/>
  <c r="Q122" i="11"/>
  <c r="P122" i="11"/>
  <c r="O122" i="11"/>
  <c r="N122" i="11"/>
  <c r="M122" i="11"/>
  <c r="L122" i="11"/>
  <c r="K122" i="11"/>
  <c r="J122" i="11"/>
  <c r="AM122" i="11" s="1"/>
  <c r="AN122" i="11" s="1"/>
  <c r="G122" i="11"/>
  <c r="AH120" i="11"/>
  <c r="H120" i="11"/>
  <c r="I120" i="11" s="1"/>
  <c r="AH119" i="11"/>
  <c r="W119" i="11"/>
  <c r="H119" i="11"/>
  <c r="AH118" i="11"/>
  <c r="H118" i="11"/>
  <c r="W118" i="11" s="1"/>
  <c r="AJ117" i="11"/>
  <c r="AL117" i="11" s="1"/>
  <c r="AH117" i="11"/>
  <c r="W117" i="11"/>
  <c r="I117" i="11"/>
  <c r="H117" i="11"/>
  <c r="AJ116" i="11"/>
  <c r="AL116" i="11" s="1"/>
  <c r="AH116" i="11"/>
  <c r="H116" i="11"/>
  <c r="I116" i="11" s="1"/>
  <c r="AH115" i="11"/>
  <c r="H115" i="11"/>
  <c r="AH114" i="11"/>
  <c r="AJ114" i="11" s="1"/>
  <c r="AL114" i="11" s="1"/>
  <c r="H114" i="11"/>
  <c r="W114" i="11" s="1"/>
  <c r="AJ113" i="11"/>
  <c r="AL113" i="11" s="1"/>
  <c r="AH113" i="11"/>
  <c r="W113" i="11"/>
  <c r="I113" i="11"/>
  <c r="H113" i="11"/>
  <c r="AH112" i="11"/>
  <c r="W112" i="11"/>
  <c r="H112" i="11"/>
  <c r="I112" i="11" s="1"/>
  <c r="AH111" i="11"/>
  <c r="H111" i="11"/>
  <c r="W111" i="11" s="1"/>
  <c r="AH110" i="11"/>
  <c r="I110" i="11"/>
  <c r="H110" i="11"/>
  <c r="W110" i="11" s="1"/>
  <c r="AJ109" i="11"/>
  <c r="AL109" i="11" s="1"/>
  <c r="AH109" i="11"/>
  <c r="W109" i="11"/>
  <c r="I109" i="11"/>
  <c r="H109" i="11"/>
  <c r="AJ108" i="11"/>
  <c r="AL108" i="11" s="1"/>
  <c r="AH108" i="11"/>
  <c r="H108" i="11"/>
  <c r="I108" i="11" s="1"/>
  <c r="AH107" i="11"/>
  <c r="H107" i="11"/>
  <c r="AJ106" i="11"/>
  <c r="AL106" i="11" s="1"/>
  <c r="AH106" i="11"/>
  <c r="H106" i="11"/>
  <c r="W106" i="11" s="1"/>
  <c r="AJ105" i="11"/>
  <c r="AL105" i="11" s="1"/>
  <c r="AH105" i="11"/>
  <c r="W105" i="11"/>
  <c r="I105" i="11"/>
  <c r="H105" i="11"/>
  <c r="AH104" i="11"/>
  <c r="H104" i="11"/>
  <c r="I104" i="11" s="1"/>
  <c r="AH103" i="11"/>
  <c r="W103" i="11"/>
  <c r="H103" i="11"/>
  <c r="AH102" i="11"/>
  <c r="H102" i="11"/>
  <c r="W102" i="11" s="1"/>
  <c r="AJ101" i="11"/>
  <c r="AL101" i="11" s="1"/>
  <c r="AH101" i="11"/>
  <c r="W101" i="11"/>
  <c r="I101" i="11"/>
  <c r="H101" i="11"/>
  <c r="AJ100" i="11"/>
  <c r="AL100" i="11" s="1"/>
  <c r="AH100" i="11"/>
  <c r="H100" i="11"/>
  <c r="I100" i="11" s="1"/>
  <c r="AH99" i="11"/>
  <c r="H99" i="11"/>
  <c r="AH98" i="11"/>
  <c r="AJ98" i="11" s="1"/>
  <c r="AL98" i="11" s="1"/>
  <c r="H98" i="11"/>
  <c r="W98" i="11" s="1"/>
  <c r="AH97" i="11"/>
  <c r="U97" i="11"/>
  <c r="U122" i="11" s="1"/>
  <c r="H97" i="11"/>
  <c r="I97" i="11" s="1"/>
  <c r="AH96" i="11"/>
  <c r="H96" i="11"/>
  <c r="H122" i="11" s="1"/>
  <c r="AQ93" i="11"/>
  <c r="AE93" i="11"/>
  <c r="AC93" i="11"/>
  <c r="AB93" i="11"/>
  <c r="AA93" i="11"/>
  <c r="W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D93" i="11"/>
  <c r="C93" i="11"/>
  <c r="B93" i="11"/>
  <c r="G91" i="11"/>
  <c r="N88" i="11"/>
  <c r="M88" i="11"/>
  <c r="F88" i="11"/>
  <c r="E88" i="11"/>
  <c r="D88" i="11"/>
  <c r="C88" i="11"/>
  <c r="B88" i="11"/>
  <c r="A88" i="11"/>
  <c r="O87" i="11"/>
  <c r="F87" i="11"/>
  <c r="E87" i="11"/>
  <c r="D87" i="11"/>
  <c r="C87" i="11"/>
  <c r="B87" i="11"/>
  <c r="A87" i="11"/>
  <c r="AC85" i="11"/>
  <c r="AB85" i="11"/>
  <c r="AA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H85" i="11" s="1"/>
  <c r="I85" i="11" s="1"/>
  <c r="G85" i="11"/>
  <c r="AQ84" i="11"/>
  <c r="AO84" i="11"/>
  <c r="AC84" i="11"/>
  <c r="AB84" i="11"/>
  <c r="AA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G84" i="11"/>
  <c r="AJ82" i="11"/>
  <c r="AL82" i="11" s="1"/>
  <c r="AH82" i="11"/>
  <c r="H82" i="11"/>
  <c r="I82" i="11" s="1"/>
  <c r="AH81" i="11"/>
  <c r="H81" i="11"/>
  <c r="AH80" i="11"/>
  <c r="AJ80" i="11" s="1"/>
  <c r="AL80" i="11" s="1"/>
  <c r="H80" i="11"/>
  <c r="W80" i="11" s="1"/>
  <c r="AJ79" i="11"/>
  <c r="AL79" i="11" s="1"/>
  <c r="AH79" i="11"/>
  <c r="W79" i="11"/>
  <c r="I79" i="11"/>
  <c r="H79" i="11"/>
  <c r="AH78" i="11"/>
  <c r="W78" i="11"/>
  <c r="H78" i="11"/>
  <c r="I78" i="11" s="1"/>
  <c r="AH77" i="11"/>
  <c r="H77" i="11"/>
  <c r="W77" i="11" s="1"/>
  <c r="AH76" i="11"/>
  <c r="I76" i="11"/>
  <c r="H76" i="11"/>
  <c r="W76" i="11" s="1"/>
  <c r="AJ75" i="11"/>
  <c r="AL75" i="11" s="1"/>
  <c r="AH75" i="11"/>
  <c r="W75" i="11"/>
  <c r="I75" i="11"/>
  <c r="H75" i="11"/>
  <c r="AJ74" i="11"/>
  <c r="AL74" i="11" s="1"/>
  <c r="AH74" i="11"/>
  <c r="H74" i="11"/>
  <c r="I74" i="11" s="1"/>
  <c r="AH73" i="11"/>
  <c r="H73" i="11"/>
  <c r="W73" i="11" s="1"/>
  <c r="AJ72" i="11"/>
  <c r="AL72" i="11" s="1"/>
  <c r="AH72" i="11"/>
  <c r="H72" i="11"/>
  <c r="W72" i="11" s="1"/>
  <c r="AJ71" i="11"/>
  <c r="AL71" i="11" s="1"/>
  <c r="AH71" i="11"/>
  <c r="W71" i="11"/>
  <c r="I71" i="11"/>
  <c r="H71" i="11"/>
  <c r="AH70" i="11"/>
  <c r="H70" i="11"/>
  <c r="I70" i="11" s="1"/>
  <c r="AH69" i="11"/>
  <c r="W69" i="11"/>
  <c r="H69" i="11"/>
  <c r="AH68" i="11"/>
  <c r="H68" i="11"/>
  <c r="W68" i="11" s="1"/>
  <c r="AJ67" i="11"/>
  <c r="AL67" i="11" s="1"/>
  <c r="AH67" i="11"/>
  <c r="W67" i="11"/>
  <c r="I67" i="11"/>
  <c r="H67" i="11"/>
  <c r="AJ66" i="11"/>
  <c r="AL66" i="11" s="1"/>
  <c r="AH66" i="11"/>
  <c r="H66" i="11"/>
  <c r="I66" i="11" s="1"/>
  <c r="AH65" i="11"/>
  <c r="H65" i="11"/>
  <c r="AH64" i="11"/>
  <c r="AJ64" i="11" s="1"/>
  <c r="AL64" i="11" s="1"/>
  <c r="H64" i="11"/>
  <c r="W64" i="11" s="1"/>
  <c r="AJ63" i="11"/>
  <c r="AL63" i="11" s="1"/>
  <c r="AH63" i="11"/>
  <c r="W63" i="11"/>
  <c r="I63" i="11"/>
  <c r="H63" i="11"/>
  <c r="AH62" i="11"/>
  <c r="W62" i="11"/>
  <c r="H62" i="11"/>
  <c r="I62" i="11" s="1"/>
  <c r="AH61" i="11"/>
  <c r="H61" i="11"/>
  <c r="AH60" i="11"/>
  <c r="I60" i="11"/>
  <c r="H60" i="11"/>
  <c r="W60" i="11" s="1"/>
  <c r="AJ59" i="11"/>
  <c r="AL59" i="11" s="1"/>
  <c r="AH59" i="11"/>
  <c r="W59" i="11"/>
  <c r="I59" i="11"/>
  <c r="H59" i="11"/>
  <c r="AJ58" i="11"/>
  <c r="AL58" i="11" s="1"/>
  <c r="AH58" i="11"/>
  <c r="H58" i="11"/>
  <c r="I58" i="11" s="1"/>
  <c r="AH57" i="11"/>
  <c r="H57" i="11"/>
  <c r="W57" i="11" s="1"/>
  <c r="AJ56" i="11"/>
  <c r="AL56" i="11" s="1"/>
  <c r="AH56" i="11"/>
  <c r="H56" i="11"/>
  <c r="W56" i="11" s="1"/>
  <c r="AJ55" i="11"/>
  <c r="AL55" i="11" s="1"/>
  <c r="AH55" i="11"/>
  <c r="W55" i="11"/>
  <c r="I55" i="11"/>
  <c r="H55" i="11"/>
  <c r="AH54" i="11"/>
  <c r="H54" i="11"/>
  <c r="I54" i="11" s="1"/>
  <c r="AH53" i="11"/>
  <c r="W53" i="11"/>
  <c r="H53" i="11"/>
  <c r="AH52" i="11"/>
  <c r="H52" i="11"/>
  <c r="H84" i="11" s="1"/>
  <c r="AQ49" i="11"/>
  <c r="AE49" i="11"/>
  <c r="AC49" i="11"/>
  <c r="AB49" i="11"/>
  <c r="AA49" i="11"/>
  <c r="W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D49" i="11"/>
  <c r="C49" i="11"/>
  <c r="B49" i="11"/>
  <c r="G47" i="11"/>
  <c r="N44" i="11"/>
  <c r="F44" i="11"/>
  <c r="E44" i="11"/>
  <c r="D44" i="11"/>
  <c r="C44" i="11"/>
  <c r="B44" i="11"/>
  <c r="A44" i="11"/>
  <c r="O43" i="11"/>
  <c r="F43" i="11"/>
  <c r="E43" i="11"/>
  <c r="D43" i="11"/>
  <c r="C43" i="11"/>
  <c r="B43" i="11"/>
  <c r="A43" i="11"/>
  <c r="AC41" i="11"/>
  <c r="AC511" i="11" s="1"/>
  <c r="AB41" i="11"/>
  <c r="AA41" i="11"/>
  <c r="AA511" i="11" s="1"/>
  <c r="U41" i="11"/>
  <c r="U511" i="11" s="1"/>
  <c r="U166" i="11" s="1"/>
  <c r="T41" i="11"/>
  <c r="S41" i="11"/>
  <c r="S511" i="11" s="1"/>
  <c r="S126" i="11" s="1"/>
  <c r="R41" i="11"/>
  <c r="Q41" i="11"/>
  <c r="P41" i="11"/>
  <c r="P511" i="11" s="1"/>
  <c r="O41" i="11"/>
  <c r="N41" i="11"/>
  <c r="N511" i="11" s="1"/>
  <c r="M41" i="11"/>
  <c r="M511" i="11" s="1"/>
  <c r="L41" i="11"/>
  <c r="K41" i="11"/>
  <c r="K511" i="11" s="1"/>
  <c r="J41" i="11"/>
  <c r="G41" i="11"/>
  <c r="G511" i="11" s="1"/>
  <c r="AQ40" i="11"/>
  <c r="AQ510" i="11" s="1"/>
  <c r="AC40" i="11"/>
  <c r="AC510" i="11" s="1"/>
  <c r="AB40" i="11"/>
  <c r="AA40" i="11"/>
  <c r="AA510" i="11" s="1"/>
  <c r="U40" i="11"/>
  <c r="T40" i="11"/>
  <c r="S40" i="11"/>
  <c r="S510" i="11" s="1"/>
  <c r="R40" i="11"/>
  <c r="Q40" i="11"/>
  <c r="Q510" i="11" s="1"/>
  <c r="P40" i="11"/>
  <c r="O40" i="11"/>
  <c r="O510" i="11" s="1"/>
  <c r="O266" i="11" s="1"/>
  <c r="N40" i="11"/>
  <c r="N510" i="11" s="1"/>
  <c r="N221" i="11" s="1"/>
  <c r="M40" i="11"/>
  <c r="L40" i="11"/>
  <c r="K40" i="11"/>
  <c r="K510" i="11" s="1"/>
  <c r="K43" i="11" s="1"/>
  <c r="J40" i="11"/>
  <c r="G40" i="11"/>
  <c r="AH38" i="11"/>
  <c r="H38" i="11"/>
  <c r="AH37" i="11"/>
  <c r="H37" i="11"/>
  <c r="AJ36" i="11"/>
  <c r="AL36" i="11" s="1"/>
  <c r="AH36" i="11"/>
  <c r="W36" i="11"/>
  <c r="I36" i="11"/>
  <c r="H36" i="11"/>
  <c r="AL35" i="11"/>
  <c r="AJ35" i="11"/>
  <c r="AH35" i="11"/>
  <c r="W35" i="11"/>
  <c r="I35" i="11"/>
  <c r="H35" i="11"/>
  <c r="AH34" i="11"/>
  <c r="W34" i="11"/>
  <c r="H34" i="11"/>
  <c r="AH33" i="11"/>
  <c r="I33" i="11"/>
  <c r="H33" i="11"/>
  <c r="AH32" i="11"/>
  <c r="AJ32" i="11" s="1"/>
  <c r="AL32" i="11" s="1"/>
  <c r="W32" i="11"/>
  <c r="I32" i="11"/>
  <c r="H32" i="11"/>
  <c r="AL31" i="11"/>
  <c r="AJ31" i="11"/>
  <c r="AH31" i="11"/>
  <c r="W31" i="11"/>
  <c r="I31" i="11"/>
  <c r="H31" i="11"/>
  <c r="AH30" i="11"/>
  <c r="W30" i="11"/>
  <c r="H30" i="11"/>
  <c r="AH29" i="11"/>
  <c r="H29" i="11"/>
  <c r="I29" i="11" s="1"/>
  <c r="AH28" i="11"/>
  <c r="AJ28" i="11" s="1"/>
  <c r="AL28" i="11" s="1"/>
  <c r="W28" i="11"/>
  <c r="I28" i="11"/>
  <c r="H28" i="11"/>
  <c r="AH27" i="11"/>
  <c r="H27" i="11"/>
  <c r="AJ27" i="11" s="1"/>
  <c r="AL27" i="11" s="1"/>
  <c r="AH26" i="11"/>
  <c r="H26" i="11"/>
  <c r="AH25" i="11"/>
  <c r="I25" i="11"/>
  <c r="H25" i="11"/>
  <c r="W25" i="11" s="1"/>
  <c r="H24" i="11"/>
  <c r="W24" i="11" s="1"/>
  <c r="AH23" i="11"/>
  <c r="I23" i="11"/>
  <c r="H23" i="11"/>
  <c r="W23" i="11" s="1"/>
  <c r="AJ22" i="11"/>
  <c r="AL22" i="11" s="1"/>
  <c r="AH22" i="11"/>
  <c r="W22" i="11"/>
  <c r="I22" i="11"/>
  <c r="H22" i="11"/>
  <c r="AH21" i="11"/>
  <c r="H21" i="11"/>
  <c r="I21" i="11" s="1"/>
  <c r="AL20" i="11"/>
  <c r="AH20" i="11"/>
  <c r="W20" i="11"/>
  <c r="I20" i="11"/>
  <c r="H20" i="11"/>
  <c r="AJ20" i="11" s="1"/>
  <c r="AH19" i="11"/>
  <c r="H19" i="11"/>
  <c r="W19" i="11" s="1"/>
  <c r="AJ18" i="11"/>
  <c r="AL18" i="11" s="1"/>
  <c r="AH18" i="11"/>
  <c r="W18" i="11"/>
  <c r="I18" i="11"/>
  <c r="H18" i="11"/>
  <c r="AJ17" i="11"/>
  <c r="AL17" i="11" s="1"/>
  <c r="AH17" i="11"/>
  <c r="H17" i="11"/>
  <c r="I17" i="11" s="1"/>
  <c r="AH16" i="11"/>
  <c r="H16" i="11"/>
  <c r="AJ16" i="11" s="1"/>
  <c r="AL16" i="11" s="1"/>
  <c r="AH15" i="11"/>
  <c r="I15" i="11"/>
  <c r="H15" i="11"/>
  <c r="W15" i="11" s="1"/>
  <c r="AJ14" i="11"/>
  <c r="AL14" i="11" s="1"/>
  <c r="AH14" i="11"/>
  <c r="W14" i="11"/>
  <c r="I14" i="11"/>
  <c r="H14" i="11"/>
  <c r="AH13" i="11"/>
  <c r="H13" i="11"/>
  <c r="I13" i="11" s="1"/>
  <c r="AL12" i="11"/>
  <c r="AH12" i="11"/>
  <c r="W12" i="11"/>
  <c r="I12" i="11"/>
  <c r="H12" i="11"/>
  <c r="AJ12" i="11" s="1"/>
  <c r="AH11" i="11"/>
  <c r="H11" i="11"/>
  <c r="W11" i="11" s="1"/>
  <c r="AJ10" i="11"/>
  <c r="AL10" i="11" s="1"/>
  <c r="AH10" i="11"/>
  <c r="W10" i="11"/>
  <c r="I10" i="11"/>
  <c r="H10" i="11"/>
  <c r="AJ9" i="11"/>
  <c r="AL9" i="11" s="1"/>
  <c r="AH9" i="11"/>
  <c r="H9" i="11"/>
  <c r="I9" i="11" s="1"/>
  <c r="AH8" i="11"/>
  <c r="H8" i="11"/>
  <c r="I8" i="11" s="1"/>
  <c r="S520" i="9"/>
  <c r="W513" i="1"/>
  <c r="W512" i="1"/>
  <c r="W511" i="1"/>
  <c r="W510" i="1"/>
  <c r="W509" i="1"/>
  <c r="W508" i="1"/>
  <c r="W507" i="1"/>
  <c r="W506" i="1"/>
  <c r="W505" i="1"/>
  <c r="W504" i="1"/>
  <c r="W503" i="1"/>
  <c r="W502" i="1"/>
  <c r="W531" i="9"/>
  <c r="W529" i="9"/>
  <c r="W528" i="9"/>
  <c r="W527" i="9"/>
  <c r="W526" i="9"/>
  <c r="W525" i="9"/>
  <c r="W524" i="9"/>
  <c r="W523" i="9"/>
  <c r="W521" i="9"/>
  <c r="W520" i="9"/>
  <c r="H329" i="9"/>
  <c r="H508" i="9"/>
  <c r="H468" i="9"/>
  <c r="H407" i="9"/>
  <c r="H360" i="9"/>
  <c r="H332" i="9"/>
  <c r="H301" i="9"/>
  <c r="H264" i="9"/>
  <c r="H219" i="9"/>
  <c r="H163" i="9"/>
  <c r="H123" i="9"/>
  <c r="H85" i="9"/>
  <c r="H41" i="9"/>
  <c r="AJ84" i="11" l="1"/>
  <c r="I84" i="11"/>
  <c r="I122" i="11"/>
  <c r="K471" i="11"/>
  <c r="K304" i="11"/>
  <c r="K332" i="11"/>
  <c r="K166" i="11"/>
  <c r="K410" i="11"/>
  <c r="K363" i="11"/>
  <c r="K267" i="11"/>
  <c r="I61" i="11"/>
  <c r="AJ61" i="11"/>
  <c r="AL61" i="11" s="1"/>
  <c r="AJ141" i="11"/>
  <c r="AL141" i="11" s="1"/>
  <c r="W141" i="11"/>
  <c r="I141" i="11"/>
  <c r="P410" i="11"/>
  <c r="P471" i="11"/>
  <c r="P332" i="11"/>
  <c r="P304" i="11"/>
  <c r="P363" i="11"/>
  <c r="P267" i="11"/>
  <c r="P166" i="11"/>
  <c r="P222" i="11"/>
  <c r="W17" i="11"/>
  <c r="I27" i="11"/>
  <c r="T520" i="11" s="1"/>
  <c r="AJ37" i="11"/>
  <c r="AL37" i="11" s="1"/>
  <c r="W37" i="11"/>
  <c r="H41" i="11"/>
  <c r="AM84" i="11"/>
  <c r="AN84" i="11" s="1"/>
  <c r="I96" i="11"/>
  <c r="I107" i="11"/>
  <c r="AJ107" i="11"/>
  <c r="AL107" i="11" s="1"/>
  <c r="AH162" i="11"/>
  <c r="AJ149" i="11"/>
  <c r="AL149" i="11" s="1"/>
  <c r="W160" i="11"/>
  <c r="AJ160" i="11"/>
  <c r="AL160" i="11" s="1"/>
  <c r="I160" i="11"/>
  <c r="AJ15" i="11"/>
  <c r="AL15" i="11" s="1"/>
  <c r="AJ23" i="11"/>
  <c r="AL23" i="11" s="1"/>
  <c r="AJ25" i="11"/>
  <c r="AL25" i="11" s="1"/>
  <c r="W27" i="11"/>
  <c r="AJ34" i="11"/>
  <c r="AL34" i="11" s="1"/>
  <c r="I34" i="11"/>
  <c r="I37" i="11"/>
  <c r="H40" i="11"/>
  <c r="P510" i="11"/>
  <c r="AB510" i="11"/>
  <c r="J511" i="11"/>
  <c r="R511" i="11"/>
  <c r="K44" i="11"/>
  <c r="AJ60" i="11"/>
  <c r="AL60" i="11" s="1"/>
  <c r="AJ62" i="11"/>
  <c r="AL62" i="11" s="1"/>
  <c r="I64" i="11"/>
  <c r="W66" i="11"/>
  <c r="AJ76" i="11"/>
  <c r="AL76" i="11" s="1"/>
  <c r="AJ78" i="11"/>
  <c r="AL78" i="11" s="1"/>
  <c r="I80" i="11"/>
  <c r="W82" i="11"/>
  <c r="P88" i="11"/>
  <c r="AH122" i="11"/>
  <c r="AJ122" i="11" s="1"/>
  <c r="I98" i="11"/>
  <c r="W100" i="11"/>
  <c r="W107" i="11"/>
  <c r="AJ110" i="11"/>
  <c r="AL110" i="11" s="1"/>
  <c r="AJ112" i="11"/>
  <c r="AL112" i="11" s="1"/>
  <c r="I114" i="11"/>
  <c r="W116" i="11"/>
  <c r="AJ145" i="11"/>
  <c r="AL145" i="11" s="1"/>
  <c r="W145" i="11"/>
  <c r="I145" i="11"/>
  <c r="I175" i="11"/>
  <c r="AJ175" i="11"/>
  <c r="AL175" i="11" s="1"/>
  <c r="W175" i="11"/>
  <c r="AH218" i="11"/>
  <c r="N303" i="11"/>
  <c r="Q470" i="11"/>
  <c r="Q409" i="11"/>
  <c r="Q362" i="11"/>
  <c r="Q266" i="11"/>
  <c r="Q303" i="11"/>
  <c r="Q331" i="11"/>
  <c r="Q165" i="11"/>
  <c r="Q221" i="11"/>
  <c r="Q125" i="11"/>
  <c r="Q87" i="11"/>
  <c r="Q43" i="11"/>
  <c r="W61" i="11"/>
  <c r="S88" i="11"/>
  <c r="I102" i="11"/>
  <c r="W104" i="11"/>
  <c r="I118" i="11"/>
  <c r="W120" i="11"/>
  <c r="W154" i="11"/>
  <c r="I154" i="11"/>
  <c r="AJ295" i="11"/>
  <c r="AL295" i="11" s="1"/>
  <c r="W295" i="11"/>
  <c r="I295" i="11"/>
  <c r="S526" i="11" s="1"/>
  <c r="S471" i="11"/>
  <c r="S304" i="11"/>
  <c r="S332" i="11"/>
  <c r="S363" i="11"/>
  <c r="S410" i="11"/>
  <c r="S166" i="11"/>
  <c r="S267" i="11"/>
  <c r="S222" i="11"/>
  <c r="AJ26" i="11"/>
  <c r="AL26" i="11" s="1"/>
  <c r="I26" i="11"/>
  <c r="W54" i="11"/>
  <c r="W8" i="11"/>
  <c r="AJ38" i="11"/>
  <c r="AL38" i="11" s="1"/>
  <c r="I38" i="11"/>
  <c r="M471" i="11"/>
  <c r="M410" i="11"/>
  <c r="M304" i="11"/>
  <c r="M222" i="11"/>
  <c r="M363" i="11"/>
  <c r="M267" i="11"/>
  <c r="M166" i="11"/>
  <c r="M44" i="11"/>
  <c r="M332" i="11"/>
  <c r="I65" i="11"/>
  <c r="AJ65" i="11"/>
  <c r="AL65" i="11" s="1"/>
  <c r="I81" i="11"/>
  <c r="AJ81" i="11"/>
  <c r="AL81" i="11" s="1"/>
  <c r="U88" i="11"/>
  <c r="I99" i="11"/>
  <c r="AJ99" i="11"/>
  <c r="AL99" i="11" s="1"/>
  <c r="G529" i="11"/>
  <c r="AJ371" i="11"/>
  <c r="AL371" i="11" s="1"/>
  <c r="W371" i="11"/>
  <c r="I371" i="11"/>
  <c r="H406" i="11"/>
  <c r="I11" i="11"/>
  <c r="I520" i="11" s="1"/>
  <c r="W70" i="11"/>
  <c r="W13" i="11"/>
  <c r="W16" i="11"/>
  <c r="W26" i="11"/>
  <c r="S470" i="11"/>
  <c r="S409" i="11"/>
  <c r="S362" i="11"/>
  <c r="S266" i="11"/>
  <c r="S303" i="11"/>
  <c r="S165" i="11"/>
  <c r="S331" i="11"/>
  <c r="S221" i="11"/>
  <c r="S125" i="11"/>
  <c r="S87" i="11"/>
  <c r="AM40" i="11"/>
  <c r="AH84" i="11"/>
  <c r="I115" i="11"/>
  <c r="AJ115" i="11"/>
  <c r="AL115" i="11" s="1"/>
  <c r="AO122" i="11"/>
  <c r="U126" i="11"/>
  <c r="W150" i="11"/>
  <c r="I150" i="11"/>
  <c r="AH40" i="11"/>
  <c r="AJ11" i="11"/>
  <c r="AL11" i="11" s="1"/>
  <c r="AJ19" i="11"/>
  <c r="AL19" i="11" s="1"/>
  <c r="AJ24" i="11"/>
  <c r="AL24" i="11" s="1"/>
  <c r="AJ33" i="11"/>
  <c r="AL33" i="11" s="1"/>
  <c r="W33" i="11"/>
  <c r="W38" i="11"/>
  <c r="L510" i="11"/>
  <c r="AO40" i="11"/>
  <c r="AJ52" i="11"/>
  <c r="AL52" i="11" s="1"/>
  <c r="AJ54" i="11"/>
  <c r="AL54" i="11" s="1"/>
  <c r="I56" i="11"/>
  <c r="W58" i="11"/>
  <c r="W65" i="11"/>
  <c r="AJ68" i="11"/>
  <c r="AL68" i="11" s="1"/>
  <c r="AJ70" i="11"/>
  <c r="AL70" i="11" s="1"/>
  <c r="I72" i="11"/>
  <c r="W74" i="11"/>
  <c r="W81" i="11"/>
  <c r="W97" i="11"/>
  <c r="W99" i="11"/>
  <c r="AJ102" i="11"/>
  <c r="AL102" i="11" s="1"/>
  <c r="AJ104" i="11"/>
  <c r="AL104" i="11" s="1"/>
  <c r="I106" i="11"/>
  <c r="W108" i="11"/>
  <c r="W115" i="11"/>
  <c r="AJ118" i="11"/>
  <c r="AL118" i="11" s="1"/>
  <c r="AJ120" i="11"/>
  <c r="AL120" i="11" s="1"/>
  <c r="AJ154" i="11"/>
  <c r="AL154" i="11" s="1"/>
  <c r="G520" i="11"/>
  <c r="AJ8" i="11"/>
  <c r="AL8" i="11" s="1"/>
  <c r="AJ29" i="11"/>
  <c r="AL29" i="11" s="1"/>
  <c r="W29" i="11"/>
  <c r="I16" i="11"/>
  <c r="I19" i="11"/>
  <c r="W520" i="11" s="1"/>
  <c r="I24" i="11"/>
  <c r="I52" i="11"/>
  <c r="I68" i="11"/>
  <c r="W21" i="11"/>
  <c r="K470" i="11"/>
  <c r="K409" i="11"/>
  <c r="K362" i="11"/>
  <c r="K266" i="11"/>
  <c r="K331" i="11"/>
  <c r="K165" i="11"/>
  <c r="K125" i="11"/>
  <c r="K87" i="11"/>
  <c r="K303" i="11"/>
  <c r="K221" i="11"/>
  <c r="U471" i="11"/>
  <c r="U410" i="11"/>
  <c r="U332" i="11"/>
  <c r="U222" i="11"/>
  <c r="U304" i="11"/>
  <c r="U44" i="11"/>
  <c r="U267" i="11"/>
  <c r="P44" i="11"/>
  <c r="AJ13" i="11"/>
  <c r="AL13" i="11" s="1"/>
  <c r="AJ21" i="11"/>
  <c r="AL21" i="11" s="1"/>
  <c r="AJ30" i="11"/>
  <c r="AL30" i="11" s="1"/>
  <c r="I30" i="11"/>
  <c r="O511" i="11"/>
  <c r="AB511" i="11"/>
  <c r="S43" i="11"/>
  <c r="S44" i="11"/>
  <c r="I53" i="11"/>
  <c r="AJ53" i="11"/>
  <c r="AL53" i="11" s="1"/>
  <c r="I69" i="11"/>
  <c r="AJ69" i="11"/>
  <c r="AL69" i="11" s="1"/>
  <c r="K88" i="11"/>
  <c r="I103" i="11"/>
  <c r="AJ103" i="11"/>
  <c r="AL103" i="11" s="1"/>
  <c r="I119" i="11"/>
  <c r="AJ119" i="11"/>
  <c r="AL119" i="11" s="1"/>
  <c r="AJ150" i="11"/>
  <c r="AL150" i="11" s="1"/>
  <c r="K222" i="11"/>
  <c r="G521" i="11"/>
  <c r="W52" i="11"/>
  <c r="I111" i="11"/>
  <c r="AJ111" i="11"/>
  <c r="AL111" i="11" s="1"/>
  <c r="G471" i="11"/>
  <c r="G410" i="11"/>
  <c r="G363" i="11"/>
  <c r="G267" i="11"/>
  <c r="G332" i="11"/>
  <c r="G304" i="11"/>
  <c r="G166" i="11"/>
  <c r="G222" i="11"/>
  <c r="G44" i="11"/>
  <c r="G126" i="11"/>
  <c r="G88" i="11"/>
  <c r="G522" i="11"/>
  <c r="AJ96" i="11"/>
  <c r="AL96" i="11" s="1"/>
  <c r="W96" i="11"/>
  <c r="AJ97" i="11"/>
  <c r="AL97" i="11" s="1"/>
  <c r="K126" i="11"/>
  <c r="G523" i="11"/>
  <c r="AJ134" i="11"/>
  <c r="AL134" i="11" s="1"/>
  <c r="W134" i="11"/>
  <c r="W162" i="11" s="1"/>
  <c r="H162" i="11"/>
  <c r="I134" i="11"/>
  <c r="I218" i="11"/>
  <c r="AJ218" i="11"/>
  <c r="AJ246" i="11"/>
  <c r="AL246" i="11" s="1"/>
  <c r="W246" i="11"/>
  <c r="I246" i="11"/>
  <c r="I77" i="11"/>
  <c r="AJ77" i="11"/>
  <c r="AL77" i="11" s="1"/>
  <c r="N470" i="11"/>
  <c r="N409" i="11"/>
  <c r="N362" i="11"/>
  <c r="N266" i="11"/>
  <c r="N165" i="11"/>
  <c r="N43" i="11"/>
  <c r="N331" i="11"/>
  <c r="N125" i="11"/>
  <c r="N87" i="11"/>
  <c r="W9" i="11"/>
  <c r="I57" i="11"/>
  <c r="AJ57" i="11"/>
  <c r="AL57" i="11" s="1"/>
  <c r="I73" i="11"/>
  <c r="AJ73" i="11"/>
  <c r="AL73" i="11" s="1"/>
  <c r="M126" i="11"/>
  <c r="G525" i="11"/>
  <c r="W230" i="11"/>
  <c r="H263" i="11"/>
  <c r="AJ230" i="11"/>
  <c r="AL230" i="11" s="1"/>
  <c r="I230" i="11"/>
  <c r="AM263" i="11"/>
  <c r="AN263" i="11" s="1"/>
  <c r="J510" i="11"/>
  <c r="R510" i="11"/>
  <c r="Q511" i="11"/>
  <c r="I135" i="11"/>
  <c r="I138" i="11"/>
  <c r="I142" i="11"/>
  <c r="I146" i="11"/>
  <c r="W178" i="11"/>
  <c r="W187" i="11"/>
  <c r="I196" i="11"/>
  <c r="W199" i="11"/>
  <c r="I206" i="11"/>
  <c r="I213" i="11"/>
  <c r="H219" i="11"/>
  <c r="I219" i="11" s="1"/>
  <c r="I242" i="11"/>
  <c r="AM300" i="11"/>
  <c r="AN300" i="11" s="1"/>
  <c r="AJ187" i="11"/>
  <c r="AL187" i="11" s="1"/>
  <c r="AJ196" i="11"/>
  <c r="AL196" i="11" s="1"/>
  <c r="AJ213" i="11"/>
  <c r="AL213" i="11" s="1"/>
  <c r="O221" i="11"/>
  <c r="AJ242" i="11"/>
  <c r="AL242" i="11" s="1"/>
  <c r="AJ250" i="11"/>
  <c r="AL250" i="11" s="1"/>
  <c r="W250" i="11"/>
  <c r="AO263" i="11"/>
  <c r="M510" i="11"/>
  <c r="U510" i="11"/>
  <c r="L511" i="11"/>
  <c r="T511" i="11"/>
  <c r="AJ151" i="11"/>
  <c r="AL151" i="11" s="1"/>
  <c r="AJ152" i="11"/>
  <c r="AL152" i="11" s="1"/>
  <c r="I156" i="11"/>
  <c r="W177" i="11"/>
  <c r="I177" i="11"/>
  <c r="I186" i="11"/>
  <c r="I188" i="11"/>
  <c r="AJ198" i="11"/>
  <c r="AL198" i="11" s="1"/>
  <c r="AJ215" i="11"/>
  <c r="AL215" i="11" s="1"/>
  <c r="I232" i="11"/>
  <c r="I250" i="11"/>
  <c r="AJ254" i="11"/>
  <c r="AL254" i="11" s="1"/>
  <c r="W254" i="11"/>
  <c r="H264" i="11"/>
  <c r="I264" i="11" s="1"/>
  <c r="AJ287" i="11"/>
  <c r="AL287" i="11" s="1"/>
  <c r="W287" i="11"/>
  <c r="I287" i="11"/>
  <c r="G524" i="11"/>
  <c r="AJ174" i="11"/>
  <c r="AL174" i="11" s="1"/>
  <c r="AJ258" i="11"/>
  <c r="AL258" i="11" s="1"/>
  <c r="W258" i="11"/>
  <c r="H526" i="11"/>
  <c r="AJ354" i="11"/>
  <c r="AL354" i="11" s="1"/>
  <c r="W354" i="11"/>
  <c r="I354" i="11"/>
  <c r="G510" i="11"/>
  <c r="O409" i="11"/>
  <c r="O470" i="11"/>
  <c r="O331" i="11"/>
  <c r="O362" i="11"/>
  <c r="O303" i="11"/>
  <c r="N471" i="11"/>
  <c r="N363" i="11"/>
  <c r="N332" i="11"/>
  <c r="N304" i="11"/>
  <c r="N222" i="11"/>
  <c r="N410" i="11"/>
  <c r="AJ153" i="11"/>
  <c r="AL153" i="11" s="1"/>
  <c r="AJ156" i="11"/>
  <c r="AL156" i="11" s="1"/>
  <c r="O165" i="11"/>
  <c r="N166" i="11"/>
  <c r="I174" i="11"/>
  <c r="AJ177" i="11"/>
  <c r="AL177" i="11" s="1"/>
  <c r="W181" i="11"/>
  <c r="I181" i="11"/>
  <c r="I190" i="11"/>
  <c r="W202" i="11"/>
  <c r="I202" i="11"/>
  <c r="I207" i="11"/>
  <c r="T218" i="11"/>
  <c r="T510" i="11" s="1"/>
  <c r="AJ232" i="11"/>
  <c r="AL232" i="11" s="1"/>
  <c r="I236" i="11"/>
  <c r="I258" i="11"/>
  <c r="AH300" i="11"/>
  <c r="AJ288" i="11"/>
  <c r="AL288" i="11" s="1"/>
  <c r="I288" i="11"/>
  <c r="W288" i="11"/>
  <c r="AJ347" i="11"/>
  <c r="AL347" i="11" s="1"/>
  <c r="I347" i="11"/>
  <c r="W347" i="11"/>
  <c r="W174" i="11"/>
  <c r="AJ188" i="11"/>
  <c r="AL188" i="11" s="1"/>
  <c r="AO218" i="11"/>
  <c r="AH263" i="11"/>
  <c r="N267" i="11"/>
  <c r="AJ276" i="11"/>
  <c r="AL276" i="11" s="1"/>
  <c r="I276" i="11"/>
  <c r="I526" i="11" s="1"/>
  <c r="AJ359" i="11"/>
  <c r="I359" i="11"/>
  <c r="H407" i="11"/>
  <c r="I407" i="11" s="1"/>
  <c r="I178" i="11"/>
  <c r="W185" i="11"/>
  <c r="I185" i="11"/>
  <c r="AJ190" i="11"/>
  <c r="AL190" i="11" s="1"/>
  <c r="I194" i="11"/>
  <c r="I199" i="11"/>
  <c r="AJ207" i="11"/>
  <c r="AL207" i="11" s="1"/>
  <c r="I211" i="11"/>
  <c r="I240" i="11"/>
  <c r="AJ280" i="11"/>
  <c r="AL280" i="11" s="1"/>
  <c r="I280" i="11"/>
  <c r="T526" i="11" s="1"/>
  <c r="W280" i="11"/>
  <c r="AJ155" i="11"/>
  <c r="AL155" i="11" s="1"/>
  <c r="AJ159" i="11"/>
  <c r="AL159" i="11" s="1"/>
  <c r="AJ189" i="11"/>
  <c r="AL189" i="11" s="1"/>
  <c r="AJ193" i="11"/>
  <c r="AL193" i="11" s="1"/>
  <c r="AJ197" i="11"/>
  <c r="AL197" i="11" s="1"/>
  <c r="AJ206" i="11"/>
  <c r="AL206" i="11" s="1"/>
  <c r="AJ210" i="11"/>
  <c r="AL210" i="11" s="1"/>
  <c r="AJ214" i="11"/>
  <c r="AL214" i="11" s="1"/>
  <c r="AJ231" i="11"/>
  <c r="AL231" i="11" s="1"/>
  <c r="AJ235" i="11"/>
  <c r="AL235" i="11" s="1"/>
  <c r="AJ239" i="11"/>
  <c r="AL239" i="11" s="1"/>
  <c r="AJ243" i="11"/>
  <c r="AL243" i="11" s="1"/>
  <c r="AJ247" i="11"/>
  <c r="AL247" i="11" s="1"/>
  <c r="AJ251" i="11"/>
  <c r="AL251" i="11" s="1"/>
  <c r="AJ255" i="11"/>
  <c r="AL255" i="11" s="1"/>
  <c r="AJ259" i="11"/>
  <c r="AL259" i="11" s="1"/>
  <c r="AJ283" i="11"/>
  <c r="AL283" i="11" s="1"/>
  <c r="W283" i="11"/>
  <c r="AO300" i="11"/>
  <c r="AO328" i="11"/>
  <c r="I356" i="11"/>
  <c r="AJ356" i="11"/>
  <c r="AL356" i="11" s="1"/>
  <c r="AJ375" i="11"/>
  <c r="AL375" i="11" s="1"/>
  <c r="W375" i="11"/>
  <c r="I375" i="11"/>
  <c r="W401" i="11"/>
  <c r="AJ401" i="11"/>
  <c r="AL401" i="11" s="1"/>
  <c r="I401" i="11"/>
  <c r="G526" i="11"/>
  <c r="AJ275" i="11"/>
  <c r="AL275" i="11" s="1"/>
  <c r="W275" i="11"/>
  <c r="AJ292" i="11"/>
  <c r="AL292" i="11" s="1"/>
  <c r="I292" i="11"/>
  <c r="H301" i="11"/>
  <c r="I301" i="11" s="1"/>
  <c r="I315" i="11"/>
  <c r="AJ315" i="11"/>
  <c r="AL315" i="11" s="1"/>
  <c r="AH406" i="11"/>
  <c r="AJ399" i="11"/>
  <c r="AL399" i="11" s="1"/>
  <c r="W399" i="11"/>
  <c r="I399" i="11"/>
  <c r="W427" i="11"/>
  <c r="I427" i="11"/>
  <c r="AJ427" i="11"/>
  <c r="AL427" i="11" s="1"/>
  <c r="AJ342" i="11"/>
  <c r="AL342" i="11" s="1"/>
  <c r="W342" i="11"/>
  <c r="W359" i="11" s="1"/>
  <c r="AJ351" i="11"/>
  <c r="AL351" i="11" s="1"/>
  <c r="I351" i="11"/>
  <c r="AJ395" i="11"/>
  <c r="AL395" i="11" s="1"/>
  <c r="W395" i="11"/>
  <c r="I395" i="11"/>
  <c r="AO406" i="11"/>
  <c r="W423" i="11"/>
  <c r="I423" i="11"/>
  <c r="AJ284" i="11"/>
  <c r="AL284" i="11" s="1"/>
  <c r="I284" i="11"/>
  <c r="H300" i="11"/>
  <c r="G527" i="11"/>
  <c r="H328" i="11"/>
  <c r="I312" i="11"/>
  <c r="I319" i="11"/>
  <c r="AJ319" i="11"/>
  <c r="AL319" i="11" s="1"/>
  <c r="AH359" i="11"/>
  <c r="I342" i="11"/>
  <c r="I528" i="11" s="1"/>
  <c r="W351" i="11"/>
  <c r="AM359" i="11"/>
  <c r="AN359" i="11" s="1"/>
  <c r="AJ391" i="11"/>
  <c r="AL391" i="11" s="1"/>
  <c r="W391" i="11"/>
  <c r="I391" i="11"/>
  <c r="AJ279" i="11"/>
  <c r="AL279" i="11" s="1"/>
  <c r="W279" i="11"/>
  <c r="W284" i="11"/>
  <c r="AJ296" i="11"/>
  <c r="AL296" i="11" s="1"/>
  <c r="I296" i="11"/>
  <c r="W312" i="11"/>
  <c r="W319" i="11"/>
  <c r="AJ322" i="11"/>
  <c r="AL322" i="11" s="1"/>
  <c r="AJ324" i="11"/>
  <c r="AL324" i="11" s="1"/>
  <c r="I326" i="11"/>
  <c r="AJ346" i="11"/>
  <c r="AL346" i="11" s="1"/>
  <c r="W346" i="11"/>
  <c r="W357" i="11"/>
  <c r="AJ387" i="11"/>
  <c r="AL387" i="11" s="1"/>
  <c r="W387" i="11"/>
  <c r="I387" i="11"/>
  <c r="AJ423" i="11"/>
  <c r="AL423" i="11" s="1"/>
  <c r="AJ291" i="11"/>
  <c r="AL291" i="11" s="1"/>
  <c r="W291" i="11"/>
  <c r="I323" i="11"/>
  <c r="AJ323" i="11"/>
  <c r="AL323" i="11" s="1"/>
  <c r="AO359" i="11"/>
  <c r="AJ383" i="11"/>
  <c r="AL383" i="11" s="1"/>
  <c r="W383" i="11"/>
  <c r="I383" i="11"/>
  <c r="W403" i="11"/>
  <c r="I403" i="11"/>
  <c r="AJ426" i="11"/>
  <c r="AL426" i="11" s="1"/>
  <c r="W433" i="11"/>
  <c r="AJ433" i="11"/>
  <c r="AL433" i="11" s="1"/>
  <c r="I433" i="11"/>
  <c r="AJ343" i="11"/>
  <c r="AL343" i="11" s="1"/>
  <c r="I343" i="11"/>
  <c r="H528" i="11" s="1"/>
  <c r="AJ350" i="11"/>
  <c r="AL350" i="11" s="1"/>
  <c r="W350" i="11"/>
  <c r="H360" i="11"/>
  <c r="I360" i="11" s="1"/>
  <c r="AJ379" i="11"/>
  <c r="AL379" i="11" s="1"/>
  <c r="W379" i="11"/>
  <c r="I379" i="11"/>
  <c r="I372" i="11"/>
  <c r="I376" i="11"/>
  <c r="I380" i="11"/>
  <c r="I384" i="11"/>
  <c r="I388" i="11"/>
  <c r="I392" i="11"/>
  <c r="I396" i="11"/>
  <c r="AH467" i="11"/>
  <c r="I429" i="11"/>
  <c r="W431" i="11"/>
  <c r="I431" i="11"/>
  <c r="W419" i="11"/>
  <c r="W467" i="11" s="1"/>
  <c r="I419" i="11"/>
  <c r="S530" i="11" s="1"/>
  <c r="AJ435" i="11"/>
  <c r="AL435" i="11" s="1"/>
  <c r="W435" i="11"/>
  <c r="I435" i="11"/>
  <c r="AJ439" i="11"/>
  <c r="AL439" i="11" s="1"/>
  <c r="W439" i="11"/>
  <c r="I439" i="11"/>
  <c r="AJ443" i="11"/>
  <c r="AL443" i="11" s="1"/>
  <c r="W443" i="11"/>
  <c r="I443" i="11"/>
  <c r="AJ404" i="11"/>
  <c r="AL404" i="11" s="1"/>
  <c r="AJ430" i="11"/>
  <c r="AL430" i="11" s="1"/>
  <c r="AJ450" i="11"/>
  <c r="AL450" i="11" s="1"/>
  <c r="AO467" i="11"/>
  <c r="AH507" i="11"/>
  <c r="AJ507" i="11"/>
  <c r="I507" i="11"/>
  <c r="G528" i="11"/>
  <c r="G530" i="11"/>
  <c r="AJ434" i="11"/>
  <c r="AL434" i="11" s="1"/>
  <c r="AJ438" i="11"/>
  <c r="AL438" i="11" s="1"/>
  <c r="AJ442" i="11"/>
  <c r="AL442" i="11" s="1"/>
  <c r="AM467" i="11"/>
  <c r="AN467" i="11" s="1"/>
  <c r="AJ400" i="11"/>
  <c r="AL400" i="11" s="1"/>
  <c r="AJ422" i="11"/>
  <c r="AL422" i="11" s="1"/>
  <c r="AO507" i="11"/>
  <c r="AJ418" i="11"/>
  <c r="AL418" i="11" s="1"/>
  <c r="H467" i="11"/>
  <c r="W480" i="11"/>
  <c r="W507" i="11" s="1"/>
  <c r="I447" i="11"/>
  <c r="I451" i="11"/>
  <c r="I455" i="11"/>
  <c r="I459" i="11"/>
  <c r="I463" i="11"/>
  <c r="I482" i="11"/>
  <c r="S531" i="11" s="1"/>
  <c r="I486" i="11"/>
  <c r="I490" i="11"/>
  <c r="I531" i="11" s="1"/>
  <c r="I494" i="11"/>
  <c r="I498" i="11"/>
  <c r="H531" i="11" s="1"/>
  <c r="I502" i="11"/>
  <c r="W447" i="11"/>
  <c r="W451" i="11"/>
  <c r="W455" i="11"/>
  <c r="W459" i="11"/>
  <c r="W463" i="11"/>
  <c r="AJ479" i="11"/>
  <c r="AL479" i="11" s="1"/>
  <c r="W482" i="11"/>
  <c r="W486" i="11"/>
  <c r="W490" i="11"/>
  <c r="W494" i="11"/>
  <c r="W498" i="11"/>
  <c r="W502" i="11"/>
  <c r="H101" i="4"/>
  <c r="B101" i="4"/>
  <c r="H189" i="4"/>
  <c r="K531" i="11" l="1"/>
  <c r="J531" i="11"/>
  <c r="T470" i="11"/>
  <c r="T331" i="11"/>
  <c r="T221" i="11"/>
  <c r="T409" i="11"/>
  <c r="T362" i="11"/>
  <c r="T266" i="11"/>
  <c r="T43" i="11"/>
  <c r="T303" i="11"/>
  <c r="T165" i="11"/>
  <c r="T125" i="11"/>
  <c r="T87" i="11"/>
  <c r="J528" i="11"/>
  <c r="K528" i="11" s="1"/>
  <c r="H530" i="11"/>
  <c r="U470" i="11"/>
  <c r="U362" i="11"/>
  <c r="U331" i="11"/>
  <c r="U409" i="11"/>
  <c r="U303" i="11"/>
  <c r="U221" i="11"/>
  <c r="U266" i="11"/>
  <c r="U43" i="11"/>
  <c r="U125" i="11"/>
  <c r="U165" i="11"/>
  <c r="U87" i="11"/>
  <c r="AJ300" i="11"/>
  <c r="I300" i="11"/>
  <c r="W218" i="11"/>
  <c r="W530" i="11"/>
  <c r="W526" i="11"/>
  <c r="L471" i="11"/>
  <c r="L410" i="11"/>
  <c r="L363" i="11"/>
  <c r="L267" i="11"/>
  <c r="L166" i="11"/>
  <c r="L332" i="11"/>
  <c r="L126" i="11"/>
  <c r="L88" i="11"/>
  <c r="L304" i="11"/>
  <c r="L222" i="11"/>
  <c r="L44" i="11"/>
  <c r="Q410" i="11"/>
  <c r="Q471" i="11"/>
  <c r="Q304" i="11"/>
  <c r="Q363" i="11"/>
  <c r="Q267" i="11"/>
  <c r="Q332" i="11"/>
  <c r="Q222" i="11"/>
  <c r="Q166" i="11"/>
  <c r="Q126" i="11"/>
  <c r="Q88" i="11"/>
  <c r="Q44" i="11"/>
  <c r="AJ162" i="11"/>
  <c r="I162" i="11"/>
  <c r="W84" i="11"/>
  <c r="O471" i="11"/>
  <c r="O410" i="11"/>
  <c r="O363" i="11"/>
  <c r="O267" i="11"/>
  <c r="O304" i="11"/>
  <c r="O332" i="11"/>
  <c r="O166" i="11"/>
  <c r="O44" i="11"/>
  <c r="O222" i="11"/>
  <c r="O126" i="11"/>
  <c r="O88" i="11"/>
  <c r="G533" i="11"/>
  <c r="W406" i="11"/>
  <c r="AT406" i="11" s="1"/>
  <c r="R471" i="11"/>
  <c r="R363" i="11"/>
  <c r="R267" i="11"/>
  <c r="R410" i="11"/>
  <c r="R332" i="11"/>
  <c r="R222" i="11"/>
  <c r="R304" i="11"/>
  <c r="R126" i="11"/>
  <c r="R88" i="11"/>
  <c r="R166" i="11"/>
  <c r="R44" i="11"/>
  <c r="J526" i="11"/>
  <c r="J470" i="11"/>
  <c r="J303" i="11"/>
  <c r="J513" i="11"/>
  <c r="K513" i="11" s="1"/>
  <c r="L513" i="11" s="1"/>
  <c r="M513" i="11" s="1"/>
  <c r="N513" i="11" s="1"/>
  <c r="O513" i="11" s="1"/>
  <c r="P513" i="11" s="1"/>
  <c r="Q513" i="11" s="1"/>
  <c r="R513" i="11" s="1"/>
  <c r="S513" i="11" s="1"/>
  <c r="T513" i="11" s="1"/>
  <c r="U513" i="11" s="1"/>
  <c r="J409" i="11"/>
  <c r="J331" i="11"/>
  <c r="J362" i="11"/>
  <c r="J165" i="11"/>
  <c r="J266" i="11"/>
  <c r="J221" i="11"/>
  <c r="J125" i="11"/>
  <c r="J87" i="11"/>
  <c r="J43" i="11"/>
  <c r="J471" i="11"/>
  <c r="J410" i="11"/>
  <c r="J363" i="11"/>
  <c r="J267" i="11"/>
  <c r="J332" i="11"/>
  <c r="J304" i="11"/>
  <c r="J166" i="11"/>
  <c r="J126" i="11"/>
  <c r="J88" i="11"/>
  <c r="J222" i="11"/>
  <c r="J44" i="11"/>
  <c r="S520" i="11"/>
  <c r="G409" i="11"/>
  <c r="H513" i="11"/>
  <c r="J515" i="11" s="1"/>
  <c r="G470" i="11"/>
  <c r="G331" i="11"/>
  <c r="G362" i="11"/>
  <c r="G303" i="11"/>
  <c r="G221" i="11"/>
  <c r="G266" i="11"/>
  <c r="G165" i="11"/>
  <c r="G43" i="11"/>
  <c r="G125" i="11"/>
  <c r="G87" i="11"/>
  <c r="T528" i="11"/>
  <c r="AO510" i="11"/>
  <c r="W531" i="11"/>
  <c r="AJ467" i="11"/>
  <c r="I467" i="11"/>
  <c r="W328" i="11"/>
  <c r="AJ328" i="11"/>
  <c r="I328" i="11"/>
  <c r="S528" i="11"/>
  <c r="T530" i="11"/>
  <c r="W525" i="11"/>
  <c r="T525" i="11"/>
  <c r="S525" i="11"/>
  <c r="H525" i="11"/>
  <c r="I525" i="11"/>
  <c r="P470" i="11"/>
  <c r="P303" i="11"/>
  <c r="P362" i="11"/>
  <c r="P266" i="11"/>
  <c r="P409" i="11"/>
  <c r="P331" i="11"/>
  <c r="P221" i="11"/>
  <c r="P165" i="11"/>
  <c r="P43" i="11"/>
  <c r="P125" i="11"/>
  <c r="P87" i="11"/>
  <c r="T522" i="11"/>
  <c r="S522" i="11"/>
  <c r="I522" i="11"/>
  <c r="H522" i="11"/>
  <c r="W522" i="11"/>
  <c r="W524" i="11"/>
  <c r="T524" i="11"/>
  <c r="S524" i="11"/>
  <c r="I524" i="11"/>
  <c r="H524" i="11"/>
  <c r="I530" i="11"/>
  <c r="M470" i="11"/>
  <c r="M362" i="11"/>
  <c r="M331" i="11"/>
  <c r="M303" i="11"/>
  <c r="M221" i="11"/>
  <c r="M266" i="11"/>
  <c r="M165" i="11"/>
  <c r="M409" i="11"/>
  <c r="M87" i="11"/>
  <c r="M43" i="11"/>
  <c r="M125" i="11"/>
  <c r="I527" i="11"/>
  <c r="H527" i="11"/>
  <c r="W527" i="11"/>
  <c r="T527" i="11"/>
  <c r="S527" i="11"/>
  <c r="W528" i="11"/>
  <c r="W300" i="11"/>
  <c r="W40" i="11"/>
  <c r="H510" i="11"/>
  <c r="I40" i="11"/>
  <c r="AJ40" i="11"/>
  <c r="R470" i="11"/>
  <c r="R303" i="11"/>
  <c r="R409" i="11"/>
  <c r="R331" i="11"/>
  <c r="R266" i="11"/>
  <c r="R165" i="11"/>
  <c r="R362" i="11"/>
  <c r="R221" i="11"/>
  <c r="R87" i="11"/>
  <c r="R43" i="11"/>
  <c r="R125" i="11"/>
  <c r="AJ263" i="11"/>
  <c r="I263" i="11"/>
  <c r="W122" i="11"/>
  <c r="AH510" i="11"/>
  <c r="AM510" i="11"/>
  <c r="AN40" i="11"/>
  <c r="I406" i="11"/>
  <c r="AJ406" i="11"/>
  <c r="H511" i="11"/>
  <c r="I41" i="11"/>
  <c r="T531" i="11"/>
  <c r="S521" i="11"/>
  <c r="I521" i="11"/>
  <c r="I533" i="11" s="1"/>
  <c r="H521" i="11"/>
  <c r="T521" i="11"/>
  <c r="T533" i="11" s="1"/>
  <c r="W521" i="11"/>
  <c r="W533" i="11" s="1"/>
  <c r="T471" i="11"/>
  <c r="T410" i="11"/>
  <c r="T363" i="11"/>
  <c r="T267" i="11"/>
  <c r="T332" i="11"/>
  <c r="T166" i="11"/>
  <c r="T304" i="11"/>
  <c r="T222" i="11"/>
  <c r="T126" i="11"/>
  <c r="T88" i="11"/>
  <c r="T44" i="11"/>
  <c r="W263" i="11"/>
  <c r="AT263" i="11" s="1"/>
  <c r="W523" i="11"/>
  <c r="T523" i="11"/>
  <c r="S523" i="11"/>
  <c r="I523" i="11"/>
  <c r="H523" i="11"/>
  <c r="AL514" i="11"/>
  <c r="AL516" i="11"/>
  <c r="AL515" i="11"/>
  <c r="L470" i="11"/>
  <c r="L409" i="11"/>
  <c r="L362" i="11"/>
  <c r="L221" i="11"/>
  <c r="L303" i="11"/>
  <c r="L331" i="11"/>
  <c r="L165" i="11"/>
  <c r="L43" i="11"/>
  <c r="L266" i="11"/>
  <c r="L87" i="11"/>
  <c r="L125" i="11"/>
  <c r="S529" i="11"/>
  <c r="I529" i="11"/>
  <c r="H529" i="11"/>
  <c r="T529" i="11"/>
  <c r="W529" i="11"/>
  <c r="N528" i="11" l="1"/>
  <c r="M528" i="11"/>
  <c r="L528" i="11"/>
  <c r="AL519" i="11"/>
  <c r="W510" i="11"/>
  <c r="K526" i="11"/>
  <c r="L526" i="11" s="1"/>
  <c r="J523" i="11"/>
  <c r="J529" i="11"/>
  <c r="I511" i="11"/>
  <c r="H410" i="11"/>
  <c r="H471" i="11"/>
  <c r="H222" i="11"/>
  <c r="H363" i="11"/>
  <c r="H267" i="11"/>
  <c r="H304" i="11"/>
  <c r="H44" i="11"/>
  <c r="H126" i="11"/>
  <c r="H88" i="11"/>
  <c r="H166" i="11"/>
  <c r="H514" i="11"/>
  <c r="J520" i="11"/>
  <c r="H533" i="11"/>
  <c r="J522" i="11"/>
  <c r="J525" i="11"/>
  <c r="K525" i="11" s="1"/>
  <c r="K521" i="11"/>
  <c r="J521" i="11"/>
  <c r="J524" i="11"/>
  <c r="H332" i="11"/>
  <c r="L531" i="11"/>
  <c r="N531" i="11" s="1"/>
  <c r="S533" i="11"/>
  <c r="M531" i="11"/>
  <c r="AM511" i="11"/>
  <c r="AM513" i="11"/>
  <c r="AN510" i="11"/>
  <c r="AH470" i="11"/>
  <c r="AH409" i="11"/>
  <c r="AH362" i="11"/>
  <c r="AH266" i="11"/>
  <c r="AH331" i="11"/>
  <c r="AH303" i="11"/>
  <c r="AH165" i="11"/>
  <c r="AH221" i="11"/>
  <c r="AH43" i="11"/>
  <c r="AH125" i="11"/>
  <c r="AH87" i="11"/>
  <c r="J527" i="11"/>
  <c r="L527" i="11" s="1"/>
  <c r="K527" i="11"/>
  <c r="I510" i="11"/>
  <c r="AJ510" i="11"/>
  <c r="H470" i="11"/>
  <c r="H303" i="11"/>
  <c r="H362" i="11"/>
  <c r="H409" i="11"/>
  <c r="H331" i="11"/>
  <c r="H221" i="11"/>
  <c r="H43" i="11"/>
  <c r="H266" i="11"/>
  <c r="H125" i="11"/>
  <c r="H87" i="11"/>
  <c r="H165" i="11"/>
  <c r="J530" i="11"/>
  <c r="AH162" i="9"/>
  <c r="L525" i="11" l="1"/>
  <c r="O531" i="11"/>
  <c r="K520" i="11"/>
  <c r="K524" i="11"/>
  <c r="M527" i="11"/>
  <c r="M526" i="11"/>
  <c r="K529" i="11"/>
  <c r="L529" i="11" s="1"/>
  <c r="L521" i="11"/>
  <c r="O528" i="11"/>
  <c r="L522" i="11"/>
  <c r="I471" i="11"/>
  <c r="I304" i="11"/>
  <c r="I410" i="11"/>
  <c r="I363" i="11"/>
  <c r="I332" i="11"/>
  <c r="I267" i="11"/>
  <c r="I222" i="11"/>
  <c r="I166" i="11"/>
  <c r="I126" i="11"/>
  <c r="I88" i="11"/>
  <c r="I44" i="11"/>
  <c r="K523" i="11"/>
  <c r="AJ409" i="11"/>
  <c r="AJ470" i="11"/>
  <c r="AJ331" i="11"/>
  <c r="AJ362" i="11"/>
  <c r="AJ266" i="11"/>
  <c r="AJ221" i="11"/>
  <c r="AJ303" i="11"/>
  <c r="AJ165" i="11"/>
  <c r="AJ125" i="11"/>
  <c r="AJ87" i="11"/>
  <c r="AJ43" i="11"/>
  <c r="J533" i="11"/>
  <c r="L520" i="11"/>
  <c r="I470" i="11"/>
  <c r="I362" i="11"/>
  <c r="I266" i="11"/>
  <c r="I331" i="11"/>
  <c r="I409" i="11"/>
  <c r="I303" i="11"/>
  <c r="I221" i="11"/>
  <c r="I125" i="11"/>
  <c r="I87" i="11"/>
  <c r="I165" i="11"/>
  <c r="I43" i="11"/>
  <c r="K530" i="11"/>
  <c r="L530" i="11" s="1"/>
  <c r="K522" i="11"/>
  <c r="U97" i="9"/>
  <c r="M521" i="11" l="1"/>
  <c r="N521" i="11"/>
  <c r="M520" i="11"/>
  <c r="M530" i="11"/>
  <c r="P528" i="11"/>
  <c r="P531" i="11"/>
  <c r="Q531" i="11" s="1"/>
  <c r="L524" i="11"/>
  <c r="M522" i="11"/>
  <c r="L523" i="11"/>
  <c r="L533" i="11" s="1"/>
  <c r="M529" i="11"/>
  <c r="N526" i="11"/>
  <c r="O526" i="11" s="1"/>
  <c r="M525" i="11"/>
  <c r="N527" i="11"/>
  <c r="K533" i="11"/>
  <c r="AH489" i="6"/>
  <c r="AH450" i="6"/>
  <c r="AH391" i="6"/>
  <c r="AH345" i="6"/>
  <c r="AH316" i="6"/>
  <c r="AH290" i="6"/>
  <c r="AH255" i="6"/>
  <c r="AH212" i="6"/>
  <c r="AH157" i="6"/>
  <c r="AH119" i="6"/>
  <c r="AH82" i="6"/>
  <c r="AH39" i="6"/>
  <c r="N525" i="11" l="1"/>
  <c r="O525" i="11" s="1"/>
  <c r="N530" i="11"/>
  <c r="M524" i="11"/>
  <c r="N522" i="11"/>
  <c r="O527" i="11"/>
  <c r="P527" i="11" s="1"/>
  <c r="Q527" i="11" s="1"/>
  <c r="P526" i="11"/>
  <c r="Q526" i="11" s="1"/>
  <c r="R526" i="11" s="1"/>
  <c r="N524" i="11"/>
  <c r="O524" i="11" s="1"/>
  <c r="R531" i="11"/>
  <c r="P521" i="11"/>
  <c r="R521" i="11" s="1"/>
  <c r="Q521" i="11"/>
  <c r="O521" i="11"/>
  <c r="N520" i="11"/>
  <c r="M523" i="11"/>
  <c r="N529" i="11"/>
  <c r="Q528" i="11"/>
  <c r="R528" i="11" s="1"/>
  <c r="O522" i="11"/>
  <c r="P522" i="11" s="1"/>
  <c r="U332" i="9"/>
  <c r="U304" i="9"/>
  <c r="U267" i="9"/>
  <c r="U166" i="9"/>
  <c r="U222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U126" i="9"/>
  <c r="U122" i="9"/>
  <c r="P525" i="11" l="1"/>
  <c r="Q525" i="11" s="1"/>
  <c r="N523" i="11"/>
  <c r="O529" i="11"/>
  <c r="P529" i="11" s="1"/>
  <c r="O520" i="11"/>
  <c r="Q522" i="11"/>
  <c r="R522" i="11" s="1"/>
  <c r="M533" i="11"/>
  <c r="O530" i="11"/>
  <c r="P524" i="11"/>
  <c r="R527" i="11"/>
  <c r="T188" i="9"/>
  <c r="J122" i="9"/>
  <c r="K122" i="9"/>
  <c r="L122" i="9"/>
  <c r="M122" i="9"/>
  <c r="N122" i="9"/>
  <c r="O122" i="9"/>
  <c r="P122" i="9"/>
  <c r="Q122" i="9"/>
  <c r="R122" i="9"/>
  <c r="S122" i="9"/>
  <c r="T122" i="9"/>
  <c r="R529" i="11" l="1"/>
  <c r="R525" i="11"/>
  <c r="O523" i="11"/>
  <c r="O533" i="11" s="1"/>
  <c r="Q529" i="11"/>
  <c r="P530" i="11"/>
  <c r="Q530" i="11" s="1"/>
  <c r="R530" i="11" s="1"/>
  <c r="N533" i="11"/>
  <c r="Q524" i="11"/>
  <c r="R524" i="11" s="1"/>
  <c r="Q520" i="11"/>
  <c r="P520" i="11"/>
  <c r="H31" i="4"/>
  <c r="H32" i="4"/>
  <c r="H33" i="4"/>
  <c r="H34" i="4"/>
  <c r="H35" i="4"/>
  <c r="H36" i="4"/>
  <c r="H37" i="4"/>
  <c r="R520" i="11" l="1"/>
  <c r="P523" i="11"/>
  <c r="P533" i="11"/>
  <c r="H47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2" i="4"/>
  <c r="H161" i="4"/>
  <c r="H160" i="4"/>
  <c r="H159" i="4"/>
  <c r="H158" i="4"/>
  <c r="H157" i="4"/>
  <c r="H156" i="4"/>
  <c r="H155" i="4"/>
  <c r="H154" i="4"/>
  <c r="H149" i="4"/>
  <c r="H148" i="4"/>
  <c r="H147" i="4"/>
  <c r="H146" i="4"/>
  <c r="H145" i="4"/>
  <c r="H144" i="4"/>
  <c r="H143" i="4"/>
  <c r="H138" i="4"/>
  <c r="H137" i="4"/>
  <c r="H136" i="4"/>
  <c r="H135" i="4"/>
  <c r="H134" i="4"/>
  <c r="H133" i="4"/>
  <c r="H128" i="4"/>
  <c r="H127" i="4"/>
  <c r="H126" i="4"/>
  <c r="H125" i="4"/>
  <c r="H124" i="4"/>
  <c r="H123" i="4"/>
  <c r="H122" i="4"/>
  <c r="H117" i="4"/>
  <c r="H116" i="4"/>
  <c r="H115" i="4"/>
  <c r="H114" i="4"/>
  <c r="H113" i="4"/>
  <c r="H112" i="4"/>
  <c r="H111" i="4"/>
  <c r="H110" i="4"/>
  <c r="H109" i="4"/>
  <c r="H108" i="4"/>
  <c r="H107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5" i="4"/>
  <c r="H74" i="4"/>
  <c r="H73" i="4"/>
  <c r="H72" i="4"/>
  <c r="H71" i="4"/>
  <c r="H70" i="4"/>
  <c r="H69" i="4"/>
  <c r="H68" i="4"/>
  <c r="H67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6" i="4"/>
  <c r="H45" i="4"/>
  <c r="H44" i="4"/>
  <c r="H43" i="4"/>
  <c r="H42" i="4"/>
  <c r="H30" i="4"/>
  <c r="Q523" i="11" l="1"/>
  <c r="Q533" i="11" s="1"/>
  <c r="H24" i="4"/>
  <c r="H23" i="4"/>
  <c r="H22" i="4"/>
  <c r="H21" i="4"/>
  <c r="H20" i="4"/>
  <c r="H19" i="4"/>
  <c r="H18" i="4"/>
  <c r="H17" i="4"/>
  <c r="H7" i="4"/>
  <c r="H8" i="4"/>
  <c r="H9" i="4"/>
  <c r="H10" i="4"/>
  <c r="H11" i="4"/>
  <c r="H12" i="4"/>
  <c r="H6" i="4"/>
  <c r="R523" i="11" l="1"/>
  <c r="R533" i="11" s="1"/>
  <c r="H152" i="9"/>
  <c r="H153" i="9"/>
  <c r="H154" i="9"/>
  <c r="H155" i="9"/>
  <c r="H156" i="9"/>
  <c r="H157" i="9"/>
  <c r="H158" i="9"/>
  <c r="I158" i="9" s="1"/>
  <c r="H159" i="9"/>
  <c r="H160" i="9"/>
  <c r="I160" i="9" l="1"/>
  <c r="I157" i="9"/>
  <c r="I159" i="9"/>
  <c r="H137" i="9" l="1"/>
  <c r="H138" i="9"/>
  <c r="H139" i="9"/>
  <c r="S15" i="10"/>
  <c r="J15" i="10"/>
  <c r="J32" i="10"/>
  <c r="AJ137" i="9" l="1"/>
  <c r="AL137" i="9" s="1"/>
  <c r="W137" i="9"/>
  <c r="D32" i="10"/>
  <c r="E32" i="10"/>
  <c r="F32" i="10"/>
  <c r="G32" i="10"/>
  <c r="H32" i="10"/>
  <c r="I32" i="10"/>
  <c r="C32" i="10"/>
  <c r="B20" i="10"/>
  <c r="O20" i="10" s="1"/>
  <c r="B21" i="10"/>
  <c r="B22" i="10"/>
  <c r="B23" i="10"/>
  <c r="B24" i="10"/>
  <c r="B25" i="10"/>
  <c r="B26" i="10"/>
  <c r="B27" i="10"/>
  <c r="B28" i="10"/>
  <c r="B29" i="10"/>
  <c r="B30" i="10"/>
  <c r="B19" i="10"/>
  <c r="B3" i="10"/>
  <c r="B4" i="10"/>
  <c r="B5" i="10"/>
  <c r="B6" i="10"/>
  <c r="B7" i="10"/>
  <c r="B8" i="10"/>
  <c r="B9" i="10"/>
  <c r="B10" i="10"/>
  <c r="B11" i="10"/>
  <c r="B12" i="10"/>
  <c r="B13" i="10"/>
  <c r="B2" i="10"/>
  <c r="R30" i="10" l="1"/>
  <c r="S30" i="10"/>
  <c r="S45" i="10" s="1"/>
  <c r="Q21" i="10"/>
  <c r="S21" i="10"/>
  <c r="S36" i="10" s="1"/>
  <c r="R22" i="10"/>
  <c r="S22" i="10"/>
  <c r="S37" i="10" s="1"/>
  <c r="Q29" i="10"/>
  <c r="S29" i="10"/>
  <c r="S44" i="10" s="1"/>
  <c r="P28" i="10"/>
  <c r="S28" i="10"/>
  <c r="S43" i="10" s="1"/>
  <c r="P20" i="10"/>
  <c r="S20" i="10"/>
  <c r="S35" i="10" s="1"/>
  <c r="N26" i="10"/>
  <c r="S26" i="10"/>
  <c r="S41" i="10" s="1"/>
  <c r="M25" i="10"/>
  <c r="S25" i="10"/>
  <c r="S40" i="10" s="1"/>
  <c r="O27" i="10"/>
  <c r="S27" i="10"/>
  <c r="S42" i="10" s="1"/>
  <c r="L24" i="10"/>
  <c r="S24" i="10"/>
  <c r="S39" i="10" s="1"/>
  <c r="R19" i="10"/>
  <c r="S19" i="10"/>
  <c r="M23" i="10"/>
  <c r="S23" i="10"/>
  <c r="S38" i="10" s="1"/>
  <c r="O30" i="10"/>
  <c r="Q28" i="10"/>
  <c r="O28" i="10"/>
  <c r="Q24" i="10"/>
  <c r="Q19" i="10"/>
  <c r="Q30" i="10"/>
  <c r="M24" i="10"/>
  <c r="M20" i="10"/>
  <c r="R23" i="10"/>
  <c r="B15" i="10"/>
  <c r="L23" i="10"/>
  <c r="M28" i="10"/>
  <c r="Q22" i="10"/>
  <c r="P23" i="10"/>
  <c r="L19" i="10"/>
  <c r="O26" i="10"/>
  <c r="O22" i="10"/>
  <c r="N19" i="10"/>
  <c r="M26" i="10"/>
  <c r="Q20" i="10"/>
  <c r="P29" i="10"/>
  <c r="N27" i="10"/>
  <c r="L25" i="10"/>
  <c r="P21" i="10"/>
  <c r="M19" i="10"/>
  <c r="P30" i="10"/>
  <c r="O29" i="10"/>
  <c r="N28" i="10"/>
  <c r="M27" i="10"/>
  <c r="L26" i="10"/>
  <c r="R24" i="10"/>
  <c r="Q23" i="10"/>
  <c r="P22" i="10"/>
  <c r="O21" i="10"/>
  <c r="N20" i="10"/>
  <c r="O19" i="10"/>
  <c r="N30" i="10"/>
  <c r="M29" i="10"/>
  <c r="L28" i="10"/>
  <c r="R26" i="10"/>
  <c r="Q25" i="10"/>
  <c r="P24" i="10"/>
  <c r="O23" i="10"/>
  <c r="N22" i="10"/>
  <c r="M21" i="10"/>
  <c r="L20" i="10"/>
  <c r="L27" i="10"/>
  <c r="R25" i="10"/>
  <c r="N21" i="10"/>
  <c r="P19" i="10"/>
  <c r="M30" i="10"/>
  <c r="L29" i="10"/>
  <c r="R27" i="10"/>
  <c r="Q26" i="10"/>
  <c r="P25" i="10"/>
  <c r="O24" i="10"/>
  <c r="N23" i="10"/>
  <c r="M22" i="10"/>
  <c r="L21" i="10"/>
  <c r="N29" i="10"/>
  <c r="L30" i="10"/>
  <c r="R28" i="10"/>
  <c r="Q27" i="10"/>
  <c r="P26" i="10"/>
  <c r="O25" i="10"/>
  <c r="N24" i="10"/>
  <c r="L22" i="10"/>
  <c r="R20" i="10"/>
  <c r="R29" i="10"/>
  <c r="P27" i="10"/>
  <c r="N25" i="10"/>
  <c r="R21" i="10"/>
  <c r="B32" i="10"/>
  <c r="AO11" i="8"/>
  <c r="AO12" i="8"/>
  <c r="AO13" i="8"/>
  <c r="AO14" i="8"/>
  <c r="AO15" i="8"/>
  <c r="AO16" i="8"/>
  <c r="AO17" i="8"/>
  <c r="AO18" i="8"/>
  <c r="AO19" i="8"/>
  <c r="AO20" i="8"/>
  <c r="AO21" i="8"/>
  <c r="AO10" i="8"/>
  <c r="AP11" i="8"/>
  <c r="AP12" i="8"/>
  <c r="AP13" i="8"/>
  <c r="AP14" i="8"/>
  <c r="AP15" i="8"/>
  <c r="AP16" i="8"/>
  <c r="AP17" i="8"/>
  <c r="AP18" i="8"/>
  <c r="AP19" i="8"/>
  <c r="AP20" i="8"/>
  <c r="AP21" i="8"/>
  <c r="AP10" i="8"/>
  <c r="AG47" i="8"/>
  <c r="AH47" i="8"/>
  <c r="AI47" i="8"/>
  <c r="AJ47" i="8"/>
  <c r="AK47" i="8"/>
  <c r="AL47" i="8"/>
  <c r="AG48" i="8"/>
  <c r="AH48" i="8"/>
  <c r="AI48" i="8"/>
  <c r="AJ48" i="8"/>
  <c r="AK48" i="8"/>
  <c r="AL48" i="8"/>
  <c r="AG49" i="8"/>
  <c r="AH49" i="8"/>
  <c r="AI49" i="8"/>
  <c r="AJ49" i="8"/>
  <c r="AK49" i="8"/>
  <c r="AL49" i="8"/>
  <c r="AG50" i="8"/>
  <c r="AH50" i="8"/>
  <c r="AI50" i="8"/>
  <c r="AJ50" i="8"/>
  <c r="AK50" i="8"/>
  <c r="AL50" i="8"/>
  <c r="AG51" i="8"/>
  <c r="AH51" i="8"/>
  <c r="AI51" i="8"/>
  <c r="AJ51" i="8"/>
  <c r="AK51" i="8"/>
  <c r="AL51" i="8"/>
  <c r="AG52" i="8"/>
  <c r="AH52" i="8"/>
  <c r="AI52" i="8"/>
  <c r="AJ52" i="8"/>
  <c r="AK52" i="8"/>
  <c r="AL52" i="8"/>
  <c r="AG53" i="8"/>
  <c r="AH53" i="8"/>
  <c r="AI53" i="8"/>
  <c r="AJ53" i="8"/>
  <c r="AK53" i="8"/>
  <c r="AL53" i="8"/>
  <c r="AG54" i="8"/>
  <c r="AH54" i="8"/>
  <c r="AI54" i="8"/>
  <c r="AJ54" i="8"/>
  <c r="AK54" i="8"/>
  <c r="AL54" i="8"/>
  <c r="AG55" i="8"/>
  <c r="AH55" i="8"/>
  <c r="AI55" i="8"/>
  <c r="AJ55" i="8"/>
  <c r="AK55" i="8"/>
  <c r="AL55" i="8"/>
  <c r="AG56" i="8"/>
  <c r="AH56" i="8"/>
  <c r="AI56" i="8"/>
  <c r="AJ56" i="8"/>
  <c r="AK56" i="8"/>
  <c r="AL56" i="8"/>
  <c r="AG57" i="8"/>
  <c r="AH57" i="8"/>
  <c r="AI57" i="8"/>
  <c r="AJ57" i="8"/>
  <c r="AK57" i="8"/>
  <c r="AL57" i="8"/>
  <c r="AL58" i="8"/>
  <c r="AK58" i="8"/>
  <c r="AJ58" i="8"/>
  <c r="AI58" i="8"/>
  <c r="AH58" i="8"/>
  <c r="AG58" i="8"/>
  <c r="AG60" i="8"/>
  <c r="AM21" i="8"/>
  <c r="AL21" i="8"/>
  <c r="AL60" i="8"/>
  <c r="AJ60" i="8"/>
  <c r="AK60" i="8"/>
  <c r="AI60" i="8"/>
  <c r="S34" i="10" l="1"/>
  <c r="S47" i="10" s="1"/>
  <c r="S32" i="10"/>
  <c r="L32" i="10"/>
  <c r="Q32" i="10"/>
  <c r="R32" i="10"/>
  <c r="N32" i="10"/>
  <c r="O32" i="10"/>
  <c r="P32" i="10"/>
  <c r="M32" i="10"/>
  <c r="F471" i="9"/>
  <c r="E471" i="9"/>
  <c r="D471" i="9"/>
  <c r="C471" i="9"/>
  <c r="B471" i="9"/>
  <c r="A471" i="9"/>
  <c r="F470" i="9"/>
  <c r="E470" i="9"/>
  <c r="D470" i="9"/>
  <c r="C470" i="9"/>
  <c r="B470" i="9"/>
  <c r="A470" i="9"/>
  <c r="F410" i="9"/>
  <c r="E410" i="9"/>
  <c r="D410" i="9"/>
  <c r="C410" i="9"/>
  <c r="B410" i="9"/>
  <c r="A410" i="9"/>
  <c r="F409" i="9"/>
  <c r="E409" i="9"/>
  <c r="D409" i="9"/>
  <c r="C409" i="9"/>
  <c r="B409" i="9"/>
  <c r="A409" i="9"/>
  <c r="U363" i="9"/>
  <c r="F363" i="9"/>
  <c r="E363" i="9"/>
  <c r="D363" i="9"/>
  <c r="C363" i="9"/>
  <c r="B363" i="9"/>
  <c r="A363" i="9"/>
  <c r="F362" i="9"/>
  <c r="E362" i="9"/>
  <c r="D362" i="9"/>
  <c r="C362" i="9"/>
  <c r="B362" i="9"/>
  <c r="A362" i="9"/>
  <c r="F332" i="9"/>
  <c r="E332" i="9"/>
  <c r="D332" i="9"/>
  <c r="C332" i="9"/>
  <c r="B332" i="9"/>
  <c r="A332" i="9"/>
  <c r="F331" i="9"/>
  <c r="E331" i="9"/>
  <c r="D331" i="9"/>
  <c r="C331" i="9"/>
  <c r="B331" i="9"/>
  <c r="A331" i="9"/>
  <c r="F304" i="9"/>
  <c r="E304" i="9"/>
  <c r="D304" i="9"/>
  <c r="C304" i="9"/>
  <c r="B304" i="9"/>
  <c r="A304" i="9"/>
  <c r="F303" i="9"/>
  <c r="E303" i="9"/>
  <c r="D303" i="9"/>
  <c r="C303" i="9"/>
  <c r="B303" i="9"/>
  <c r="A303" i="9"/>
  <c r="F267" i="9"/>
  <c r="E267" i="9"/>
  <c r="D267" i="9"/>
  <c r="C267" i="9"/>
  <c r="B267" i="9"/>
  <c r="A267" i="9"/>
  <c r="F266" i="9"/>
  <c r="E266" i="9"/>
  <c r="D266" i="9"/>
  <c r="C266" i="9"/>
  <c r="B266" i="9"/>
  <c r="A266" i="9"/>
  <c r="F222" i="9"/>
  <c r="E222" i="9"/>
  <c r="D222" i="9"/>
  <c r="C222" i="9"/>
  <c r="B222" i="9"/>
  <c r="A222" i="9"/>
  <c r="F221" i="9"/>
  <c r="E221" i="9"/>
  <c r="D221" i="9"/>
  <c r="C221" i="9"/>
  <c r="B221" i="9"/>
  <c r="A221" i="9"/>
  <c r="F166" i="9"/>
  <c r="E166" i="9"/>
  <c r="D166" i="9"/>
  <c r="C166" i="9"/>
  <c r="B166" i="9"/>
  <c r="A166" i="9"/>
  <c r="F165" i="9"/>
  <c r="E165" i="9"/>
  <c r="D165" i="9"/>
  <c r="C165" i="9"/>
  <c r="B165" i="9"/>
  <c r="A165" i="9"/>
  <c r="F126" i="9"/>
  <c r="E126" i="9"/>
  <c r="D126" i="9"/>
  <c r="C126" i="9"/>
  <c r="B126" i="9"/>
  <c r="A126" i="9"/>
  <c r="F125" i="9"/>
  <c r="E125" i="9"/>
  <c r="D125" i="9"/>
  <c r="C125" i="9"/>
  <c r="B125" i="9"/>
  <c r="A125" i="9"/>
  <c r="F88" i="9"/>
  <c r="E88" i="9"/>
  <c r="D88" i="9"/>
  <c r="C88" i="9"/>
  <c r="B88" i="9"/>
  <c r="A88" i="9"/>
  <c r="F87" i="9"/>
  <c r="E87" i="9"/>
  <c r="D87" i="9"/>
  <c r="C87" i="9"/>
  <c r="B87" i="9"/>
  <c r="A87" i="9"/>
  <c r="F44" i="9"/>
  <c r="E44" i="9"/>
  <c r="D44" i="9"/>
  <c r="C44" i="9"/>
  <c r="B44" i="9"/>
  <c r="A44" i="9"/>
  <c r="F43" i="9"/>
  <c r="E43" i="9"/>
  <c r="D43" i="9"/>
  <c r="C43" i="9"/>
  <c r="B43" i="9"/>
  <c r="A43" i="9"/>
  <c r="W47" i="8" l="1"/>
  <c r="H24" i="9" l="1"/>
  <c r="G206" i="9"/>
  <c r="G199" i="9"/>
  <c r="AJ24" i="9" l="1"/>
  <c r="AL24" i="9" s="1"/>
  <c r="W24" i="9"/>
  <c r="I24" i="9"/>
  <c r="C29" i="8" l="1"/>
  <c r="C28" i="8"/>
  <c r="G29" i="8"/>
  <c r="G28" i="8"/>
  <c r="K29" i="8"/>
  <c r="K28" i="8"/>
  <c r="Q11" i="8"/>
  <c r="AH492" i="6"/>
  <c r="W64" i="8"/>
  <c r="W63" i="8"/>
  <c r="W60" i="8"/>
  <c r="W66" i="8" l="1"/>
  <c r="O28" i="8"/>
  <c r="O29" i="8"/>
  <c r="O23" i="8"/>
  <c r="Q23" i="8" s="1"/>
  <c r="AH300" i="9"/>
  <c r="S16" i="8" s="1"/>
  <c r="U16" i="8" s="1"/>
  <c r="AH263" i="9"/>
  <c r="S15" i="8" s="1"/>
  <c r="U15" i="8" s="1"/>
  <c r="S13" i="8"/>
  <c r="U13" i="8" s="1"/>
  <c r="AH122" i="9"/>
  <c r="AH328" i="9"/>
  <c r="S17" i="8" s="1"/>
  <c r="U17" i="8" s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88" i="1"/>
  <c r="AH287" i="1"/>
  <c r="AH286" i="1"/>
  <c r="AH285" i="1"/>
  <c r="AH284" i="1"/>
  <c r="AH283" i="1"/>
  <c r="AH282" i="1"/>
  <c r="AH281" i="1"/>
  <c r="AH280" i="1"/>
  <c r="AH279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8" i="1"/>
  <c r="AH137" i="1"/>
  <c r="AH136" i="1"/>
  <c r="AH134" i="1"/>
  <c r="AH133" i="1"/>
  <c r="AH132" i="1"/>
  <c r="AH131" i="1"/>
  <c r="AH130" i="1"/>
  <c r="AH129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37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K508" i="9"/>
  <c r="L508" i="9"/>
  <c r="M508" i="9"/>
  <c r="N508" i="9"/>
  <c r="O508" i="9"/>
  <c r="P508" i="9"/>
  <c r="Q508" i="9"/>
  <c r="R508" i="9"/>
  <c r="S508" i="9"/>
  <c r="T508" i="9"/>
  <c r="U508" i="9"/>
  <c r="AA508" i="9"/>
  <c r="AB508" i="9"/>
  <c r="AC508" i="9"/>
  <c r="J508" i="9"/>
  <c r="G508" i="9"/>
  <c r="K468" i="9"/>
  <c r="L468" i="9"/>
  <c r="M468" i="9"/>
  <c r="N468" i="9"/>
  <c r="O468" i="9"/>
  <c r="P468" i="9"/>
  <c r="Q468" i="9"/>
  <c r="R468" i="9"/>
  <c r="S468" i="9"/>
  <c r="T468" i="9"/>
  <c r="U468" i="9"/>
  <c r="AA468" i="9"/>
  <c r="AB468" i="9"/>
  <c r="AC468" i="9"/>
  <c r="J468" i="9"/>
  <c r="G468" i="9"/>
  <c r="K407" i="9"/>
  <c r="L407" i="9"/>
  <c r="M407" i="9"/>
  <c r="N407" i="9"/>
  <c r="O407" i="9"/>
  <c r="P407" i="9"/>
  <c r="Q407" i="9"/>
  <c r="R407" i="9"/>
  <c r="S407" i="9"/>
  <c r="T407" i="9"/>
  <c r="U407" i="9"/>
  <c r="AA407" i="9"/>
  <c r="AB407" i="9"/>
  <c r="AC407" i="9"/>
  <c r="J407" i="9"/>
  <c r="G407" i="9"/>
  <c r="K360" i="9"/>
  <c r="L360" i="9"/>
  <c r="M360" i="9"/>
  <c r="N360" i="9"/>
  <c r="O360" i="9"/>
  <c r="P360" i="9"/>
  <c r="Q360" i="9"/>
  <c r="R360" i="9"/>
  <c r="S360" i="9"/>
  <c r="T360" i="9"/>
  <c r="U360" i="9"/>
  <c r="AA360" i="9"/>
  <c r="AB360" i="9"/>
  <c r="AC360" i="9"/>
  <c r="J360" i="9"/>
  <c r="G360" i="9"/>
  <c r="K329" i="9"/>
  <c r="L329" i="9"/>
  <c r="M329" i="9"/>
  <c r="N329" i="9"/>
  <c r="O329" i="9"/>
  <c r="P329" i="9"/>
  <c r="Q329" i="9"/>
  <c r="R329" i="9"/>
  <c r="S329" i="9"/>
  <c r="T329" i="9"/>
  <c r="U329" i="9"/>
  <c r="AA329" i="9"/>
  <c r="AB329" i="9"/>
  <c r="AC329" i="9"/>
  <c r="J329" i="9"/>
  <c r="G329" i="9"/>
  <c r="L301" i="9"/>
  <c r="M301" i="9"/>
  <c r="N301" i="9"/>
  <c r="O301" i="9"/>
  <c r="P301" i="9"/>
  <c r="Q301" i="9"/>
  <c r="R301" i="9"/>
  <c r="S301" i="9"/>
  <c r="T301" i="9"/>
  <c r="U301" i="9"/>
  <c r="AA301" i="9"/>
  <c r="AB301" i="9"/>
  <c r="AC301" i="9"/>
  <c r="K301" i="9"/>
  <c r="J301" i="9"/>
  <c r="G301" i="9"/>
  <c r="L264" i="9"/>
  <c r="M264" i="9"/>
  <c r="N264" i="9"/>
  <c r="O264" i="9"/>
  <c r="P264" i="9"/>
  <c r="Q264" i="9"/>
  <c r="R264" i="9"/>
  <c r="S264" i="9"/>
  <c r="T264" i="9"/>
  <c r="U264" i="9"/>
  <c r="AA264" i="9"/>
  <c r="AB264" i="9"/>
  <c r="AC264" i="9"/>
  <c r="K264" i="9"/>
  <c r="J264" i="9"/>
  <c r="G264" i="9"/>
  <c r="K219" i="9"/>
  <c r="L219" i="9"/>
  <c r="M219" i="9"/>
  <c r="N219" i="9"/>
  <c r="O219" i="9"/>
  <c r="P219" i="9"/>
  <c r="Q219" i="9"/>
  <c r="R219" i="9"/>
  <c r="S219" i="9"/>
  <c r="T219" i="9"/>
  <c r="U219" i="9"/>
  <c r="AA219" i="9"/>
  <c r="AB219" i="9"/>
  <c r="AC219" i="9"/>
  <c r="J219" i="9"/>
  <c r="G219" i="9"/>
  <c r="K123" i="9"/>
  <c r="L123" i="9"/>
  <c r="M123" i="9"/>
  <c r="N123" i="9"/>
  <c r="O123" i="9"/>
  <c r="P123" i="9"/>
  <c r="Q123" i="9"/>
  <c r="R123" i="9"/>
  <c r="S123" i="9"/>
  <c r="T123" i="9"/>
  <c r="U123" i="9"/>
  <c r="AA123" i="9"/>
  <c r="AB123" i="9"/>
  <c r="AC123" i="9"/>
  <c r="J123" i="9"/>
  <c r="G123" i="9"/>
  <c r="K85" i="9"/>
  <c r="L85" i="9"/>
  <c r="M85" i="9"/>
  <c r="N85" i="9"/>
  <c r="O85" i="9"/>
  <c r="P85" i="9"/>
  <c r="Q85" i="9"/>
  <c r="R85" i="9"/>
  <c r="S85" i="9"/>
  <c r="T85" i="9"/>
  <c r="U85" i="9"/>
  <c r="AA85" i="9"/>
  <c r="AB85" i="9"/>
  <c r="AC85" i="9"/>
  <c r="J85" i="9"/>
  <c r="G85" i="9"/>
  <c r="L41" i="9"/>
  <c r="M41" i="9"/>
  <c r="N41" i="9"/>
  <c r="O41" i="9"/>
  <c r="P41" i="9"/>
  <c r="Q41" i="9"/>
  <c r="R41" i="9"/>
  <c r="S41" i="9"/>
  <c r="T41" i="9"/>
  <c r="U41" i="9"/>
  <c r="AA41" i="9"/>
  <c r="AB41" i="9"/>
  <c r="AC41" i="9"/>
  <c r="J41" i="9"/>
  <c r="G41" i="9"/>
  <c r="AB163" i="9"/>
  <c r="AC163" i="9"/>
  <c r="AA163" i="9"/>
  <c r="K163" i="9"/>
  <c r="L163" i="9"/>
  <c r="M163" i="9"/>
  <c r="N163" i="9"/>
  <c r="O163" i="9"/>
  <c r="P163" i="9"/>
  <c r="Q163" i="9"/>
  <c r="R163" i="9"/>
  <c r="S163" i="9"/>
  <c r="T163" i="9"/>
  <c r="U163" i="9"/>
  <c r="J163" i="9"/>
  <c r="G163" i="9"/>
  <c r="U533" i="9"/>
  <c r="AQ507" i="9"/>
  <c r="AC507" i="9"/>
  <c r="AB507" i="9"/>
  <c r="AA507" i="9"/>
  <c r="U507" i="9"/>
  <c r="T507" i="9"/>
  <c r="S507" i="9"/>
  <c r="R507" i="9"/>
  <c r="Q507" i="9"/>
  <c r="P507" i="9"/>
  <c r="I13" i="10" s="1"/>
  <c r="O507" i="9"/>
  <c r="H13" i="10" s="1"/>
  <c r="N507" i="9"/>
  <c r="G13" i="10" s="1"/>
  <c r="M507" i="9"/>
  <c r="F13" i="10" s="1"/>
  <c r="L507" i="9"/>
  <c r="E13" i="10" s="1"/>
  <c r="K507" i="9"/>
  <c r="D13" i="10" s="1"/>
  <c r="J507" i="9"/>
  <c r="C13" i="10" s="1"/>
  <c r="L13" i="10" s="1"/>
  <c r="G507" i="9"/>
  <c r="H505" i="9"/>
  <c r="AJ505" i="9" s="1"/>
  <c r="AL505" i="9" s="1"/>
  <c r="H504" i="9"/>
  <c r="AJ504" i="9" s="1"/>
  <c r="AL504" i="9" s="1"/>
  <c r="H503" i="9"/>
  <c r="W503" i="9" s="1"/>
  <c r="H502" i="9"/>
  <c r="W502" i="9" s="1"/>
  <c r="H501" i="9"/>
  <c r="H500" i="9"/>
  <c r="H499" i="9"/>
  <c r="H498" i="9"/>
  <c r="H497" i="9"/>
  <c r="H496" i="9"/>
  <c r="H495" i="9"/>
  <c r="H494" i="9"/>
  <c r="H493" i="9"/>
  <c r="H492" i="9"/>
  <c r="H491" i="9"/>
  <c r="I491" i="9" s="1"/>
  <c r="H490" i="9"/>
  <c r="W490" i="9" s="1"/>
  <c r="H489" i="9"/>
  <c r="AJ489" i="9" s="1"/>
  <c r="AL489" i="9" s="1"/>
  <c r="H488" i="9"/>
  <c r="H487" i="9"/>
  <c r="W487" i="9" s="1"/>
  <c r="H486" i="9"/>
  <c r="W486" i="9" s="1"/>
  <c r="H485" i="9"/>
  <c r="AJ485" i="9" s="1"/>
  <c r="AL485" i="9" s="1"/>
  <c r="H484" i="9"/>
  <c r="AJ484" i="9" s="1"/>
  <c r="AL484" i="9" s="1"/>
  <c r="H483" i="9"/>
  <c r="H482" i="9"/>
  <c r="AJ482" i="9" s="1"/>
  <c r="AL482" i="9" s="1"/>
  <c r="H481" i="9"/>
  <c r="H480" i="9"/>
  <c r="W480" i="9" s="1"/>
  <c r="H479" i="9"/>
  <c r="AQ476" i="9"/>
  <c r="AE476" i="9"/>
  <c r="AC476" i="9"/>
  <c r="AB476" i="9"/>
  <c r="AA476" i="9"/>
  <c r="W476" i="9"/>
  <c r="U476" i="9"/>
  <c r="T476" i="9"/>
  <c r="S476" i="9"/>
  <c r="R476" i="9"/>
  <c r="Q476" i="9"/>
  <c r="P476" i="9"/>
  <c r="O476" i="9"/>
  <c r="N476" i="9"/>
  <c r="M476" i="9"/>
  <c r="L476" i="9"/>
  <c r="K476" i="9"/>
  <c r="J476" i="9"/>
  <c r="I476" i="9"/>
  <c r="H476" i="9"/>
  <c r="G476" i="9"/>
  <c r="F476" i="9"/>
  <c r="D476" i="9"/>
  <c r="C476" i="9"/>
  <c r="B476" i="9"/>
  <c r="G474" i="9"/>
  <c r="AQ467" i="9"/>
  <c r="AC467" i="9"/>
  <c r="AB467" i="9"/>
  <c r="AA467" i="9"/>
  <c r="U467" i="9"/>
  <c r="T467" i="9"/>
  <c r="S467" i="9"/>
  <c r="R467" i="9"/>
  <c r="Q467" i="9"/>
  <c r="P467" i="9"/>
  <c r="I12" i="10" s="1"/>
  <c r="O467" i="9"/>
  <c r="H12" i="10" s="1"/>
  <c r="N467" i="9"/>
  <c r="G12" i="10" s="1"/>
  <c r="M467" i="9"/>
  <c r="F12" i="10" s="1"/>
  <c r="L467" i="9"/>
  <c r="E12" i="10" s="1"/>
  <c r="K467" i="9"/>
  <c r="D12" i="10" s="1"/>
  <c r="J467" i="9"/>
  <c r="C12" i="10" s="1"/>
  <c r="L12" i="10" s="1"/>
  <c r="G467" i="9"/>
  <c r="AJ465" i="9"/>
  <c r="H464" i="9"/>
  <c r="H463" i="9"/>
  <c r="AJ463" i="9" s="1"/>
  <c r="AL463" i="9" s="1"/>
  <c r="H462" i="9"/>
  <c r="H461" i="9"/>
  <c r="W461" i="9" s="1"/>
  <c r="H460" i="9"/>
  <c r="AJ460" i="9" s="1"/>
  <c r="AL460" i="9" s="1"/>
  <c r="H459" i="9"/>
  <c r="AJ459" i="9" s="1"/>
  <c r="AL459" i="9" s="1"/>
  <c r="H458" i="9"/>
  <c r="D161" i="4" s="1"/>
  <c r="H457" i="9"/>
  <c r="I457" i="9" s="1"/>
  <c r="H456" i="9"/>
  <c r="W456" i="9" s="1"/>
  <c r="H455" i="9"/>
  <c r="H454" i="9"/>
  <c r="AJ454" i="9" s="1"/>
  <c r="AL454" i="9" s="1"/>
  <c r="H453" i="9"/>
  <c r="I453" i="9" s="1"/>
  <c r="H452" i="9"/>
  <c r="W452" i="9" s="1"/>
  <c r="H451" i="9"/>
  <c r="H450" i="9"/>
  <c r="I450" i="9" s="1"/>
  <c r="H449" i="9"/>
  <c r="W449" i="9" s="1"/>
  <c r="H448" i="9"/>
  <c r="H447" i="9"/>
  <c r="AJ447" i="9" s="1"/>
  <c r="AL447" i="9" s="1"/>
  <c r="H446" i="9"/>
  <c r="AJ446" i="9" s="1"/>
  <c r="AL446" i="9" s="1"/>
  <c r="H445" i="9"/>
  <c r="I445" i="9" s="1"/>
  <c r="H444" i="9"/>
  <c r="AJ444" i="9" s="1"/>
  <c r="AL444" i="9" s="1"/>
  <c r="H443" i="9"/>
  <c r="I443" i="9" s="1"/>
  <c r="H442" i="9"/>
  <c r="W442" i="9" s="1"/>
  <c r="H441" i="9"/>
  <c r="I441" i="9" s="1"/>
  <c r="H440" i="9"/>
  <c r="H439" i="9"/>
  <c r="AJ439" i="9" s="1"/>
  <c r="AL439" i="9" s="1"/>
  <c r="H438" i="9"/>
  <c r="W438" i="9" s="1"/>
  <c r="H437" i="9"/>
  <c r="AJ437" i="9" s="1"/>
  <c r="AL437" i="9" s="1"/>
  <c r="H436" i="9"/>
  <c r="AJ436" i="9" s="1"/>
  <c r="AL436" i="9" s="1"/>
  <c r="H435" i="9"/>
  <c r="I435" i="9" s="1"/>
  <c r="H434" i="9"/>
  <c r="H433" i="9"/>
  <c r="AJ433" i="9" s="1"/>
  <c r="AL433" i="9" s="1"/>
  <c r="H432" i="9"/>
  <c r="H431" i="9"/>
  <c r="H430" i="9"/>
  <c r="W430" i="9" s="1"/>
  <c r="H429" i="9"/>
  <c r="AJ429" i="9" s="1"/>
  <c r="AL429" i="9" s="1"/>
  <c r="H428" i="9"/>
  <c r="AJ428" i="9" s="1"/>
  <c r="AL428" i="9" s="1"/>
  <c r="H427" i="9"/>
  <c r="W427" i="9" s="1"/>
  <c r="H426" i="9"/>
  <c r="W426" i="9" s="1"/>
  <c r="H425" i="9"/>
  <c r="AJ425" i="9" s="1"/>
  <c r="AL425" i="9" s="1"/>
  <c r="H424" i="9"/>
  <c r="H423" i="9"/>
  <c r="AJ423" i="9" s="1"/>
  <c r="AL423" i="9" s="1"/>
  <c r="H422" i="9"/>
  <c r="W422" i="9" s="1"/>
  <c r="H421" i="9"/>
  <c r="AJ421" i="9" s="1"/>
  <c r="AL421" i="9" s="1"/>
  <c r="H420" i="9"/>
  <c r="H419" i="9"/>
  <c r="H418" i="9"/>
  <c r="AQ415" i="9"/>
  <c r="AE415" i="9"/>
  <c r="AC415" i="9"/>
  <c r="AB415" i="9"/>
  <c r="AA415" i="9"/>
  <c r="W415" i="9"/>
  <c r="U415" i="9"/>
  <c r="T415" i="9"/>
  <c r="S415" i="9"/>
  <c r="R415" i="9"/>
  <c r="Q415" i="9"/>
  <c r="P415" i="9"/>
  <c r="O415" i="9"/>
  <c r="N415" i="9"/>
  <c r="M415" i="9"/>
  <c r="L415" i="9"/>
  <c r="K415" i="9"/>
  <c r="J415" i="9"/>
  <c r="I415" i="9"/>
  <c r="H415" i="9"/>
  <c r="G415" i="9"/>
  <c r="F415" i="9"/>
  <c r="D415" i="9"/>
  <c r="C415" i="9"/>
  <c r="B415" i="9"/>
  <c r="G413" i="9"/>
  <c r="AQ406" i="9"/>
  <c r="AC406" i="9"/>
  <c r="AB406" i="9"/>
  <c r="AA406" i="9"/>
  <c r="U406" i="9"/>
  <c r="T406" i="9"/>
  <c r="S406" i="9"/>
  <c r="R406" i="9"/>
  <c r="Q406" i="9"/>
  <c r="P406" i="9"/>
  <c r="I11" i="10" s="1"/>
  <c r="O406" i="9"/>
  <c r="H11" i="10" s="1"/>
  <c r="N406" i="9"/>
  <c r="G11" i="10" s="1"/>
  <c r="M406" i="9"/>
  <c r="F11" i="10" s="1"/>
  <c r="L406" i="9"/>
  <c r="E11" i="10" s="1"/>
  <c r="K406" i="9"/>
  <c r="D11" i="10" s="1"/>
  <c r="J406" i="9"/>
  <c r="C11" i="10" s="1"/>
  <c r="L11" i="10" s="1"/>
  <c r="G406" i="9"/>
  <c r="H404" i="9"/>
  <c r="W404" i="9" s="1"/>
  <c r="H403" i="9"/>
  <c r="I403" i="9" s="1"/>
  <c r="H402" i="9"/>
  <c r="AJ402" i="9" s="1"/>
  <c r="AL402" i="9" s="1"/>
  <c r="H401" i="9"/>
  <c r="AJ401" i="9" s="1"/>
  <c r="AL401" i="9" s="1"/>
  <c r="H400" i="9"/>
  <c r="W400" i="9" s="1"/>
  <c r="H399" i="9"/>
  <c r="H398" i="9"/>
  <c r="AJ398" i="9" s="1"/>
  <c r="AL398" i="9" s="1"/>
  <c r="H397" i="9"/>
  <c r="W397" i="9" s="1"/>
  <c r="H396" i="9"/>
  <c r="H395" i="9"/>
  <c r="W395" i="9" s="1"/>
  <c r="H394" i="9"/>
  <c r="AJ394" i="9" s="1"/>
  <c r="AL394" i="9" s="1"/>
  <c r="H393" i="9"/>
  <c r="W393" i="9" s="1"/>
  <c r="H392" i="9"/>
  <c r="W392" i="9" s="1"/>
  <c r="H391" i="9"/>
  <c r="W391" i="9" s="1"/>
  <c r="H390" i="9"/>
  <c r="H389" i="9"/>
  <c r="W389" i="9" s="1"/>
  <c r="H388" i="9"/>
  <c r="W388" i="9" s="1"/>
  <c r="H387" i="9"/>
  <c r="W387" i="9" s="1"/>
  <c r="H386" i="9"/>
  <c r="AJ386" i="9" s="1"/>
  <c r="AL386" i="9" s="1"/>
  <c r="H385" i="9"/>
  <c r="W385" i="9" s="1"/>
  <c r="H384" i="9"/>
  <c r="I384" i="9" s="1"/>
  <c r="H383" i="9"/>
  <c r="W383" i="9" s="1"/>
  <c r="H382" i="9"/>
  <c r="H381" i="9"/>
  <c r="H380" i="9"/>
  <c r="AJ380" i="9" s="1"/>
  <c r="AL380" i="9" s="1"/>
  <c r="H379" i="9"/>
  <c r="I379" i="9" s="1"/>
  <c r="H378" i="9"/>
  <c r="I378" i="9" s="1"/>
  <c r="H377" i="9"/>
  <c r="W377" i="9" s="1"/>
  <c r="H376" i="9"/>
  <c r="H375" i="9"/>
  <c r="W375" i="9" s="1"/>
  <c r="H374" i="9"/>
  <c r="I374" i="9" s="1"/>
  <c r="H373" i="9"/>
  <c r="H372" i="9"/>
  <c r="AJ372" i="9" s="1"/>
  <c r="AL372" i="9" s="1"/>
  <c r="H371" i="9"/>
  <c r="W371" i="9" s="1"/>
  <c r="AQ368" i="9"/>
  <c r="AE368" i="9"/>
  <c r="AC368" i="9"/>
  <c r="AB368" i="9"/>
  <c r="AA368" i="9"/>
  <c r="W368" i="9"/>
  <c r="U368" i="9"/>
  <c r="T368" i="9"/>
  <c r="S368" i="9"/>
  <c r="R368" i="9"/>
  <c r="Q368" i="9"/>
  <c r="P368" i="9"/>
  <c r="O368" i="9"/>
  <c r="N368" i="9"/>
  <c r="M368" i="9"/>
  <c r="L368" i="9"/>
  <c r="K368" i="9"/>
  <c r="J368" i="9"/>
  <c r="I368" i="9"/>
  <c r="H368" i="9"/>
  <c r="G368" i="9"/>
  <c r="F368" i="9"/>
  <c r="D368" i="9"/>
  <c r="C368" i="9"/>
  <c r="B368" i="9"/>
  <c r="G366" i="9"/>
  <c r="AQ359" i="9"/>
  <c r="AC359" i="9"/>
  <c r="AB359" i="9"/>
  <c r="AA359" i="9"/>
  <c r="U359" i="9"/>
  <c r="T359" i="9"/>
  <c r="S359" i="9"/>
  <c r="R359" i="9"/>
  <c r="Q359" i="9"/>
  <c r="P359" i="9"/>
  <c r="I10" i="10" s="1"/>
  <c r="O359" i="9"/>
  <c r="H10" i="10" s="1"/>
  <c r="N359" i="9"/>
  <c r="G10" i="10" s="1"/>
  <c r="M359" i="9"/>
  <c r="F10" i="10" s="1"/>
  <c r="L359" i="9"/>
  <c r="E10" i="10" s="1"/>
  <c r="K359" i="9"/>
  <c r="D10" i="10" s="1"/>
  <c r="J359" i="9"/>
  <c r="C10" i="10" s="1"/>
  <c r="L10" i="10" s="1"/>
  <c r="G359" i="9"/>
  <c r="H357" i="9"/>
  <c r="W357" i="9" s="1"/>
  <c r="H356" i="9"/>
  <c r="W356" i="9" s="1"/>
  <c r="H355" i="9"/>
  <c r="W355" i="9" s="1"/>
  <c r="H354" i="9"/>
  <c r="H353" i="9"/>
  <c r="W353" i="9" s="1"/>
  <c r="H352" i="9"/>
  <c r="I352" i="9" s="1"/>
  <c r="H351" i="9"/>
  <c r="W351" i="9" s="1"/>
  <c r="H350" i="9"/>
  <c r="H349" i="9"/>
  <c r="W349" i="9" s="1"/>
  <c r="H348" i="9"/>
  <c r="H347" i="9"/>
  <c r="W347" i="9" s="1"/>
  <c r="H346" i="9"/>
  <c r="H345" i="9"/>
  <c r="H344" i="9"/>
  <c r="AJ344" i="9" s="1"/>
  <c r="AL344" i="9" s="1"/>
  <c r="H343" i="9"/>
  <c r="H342" i="9"/>
  <c r="AJ342" i="9" s="1"/>
  <c r="AL342" i="9" s="1"/>
  <c r="H341" i="9"/>
  <c r="W341" i="9" s="1"/>
  <c r="H340" i="9"/>
  <c r="AQ337" i="9"/>
  <c r="AE337" i="9"/>
  <c r="AC337" i="9"/>
  <c r="AB337" i="9"/>
  <c r="AA337" i="9"/>
  <c r="W337" i="9"/>
  <c r="U337" i="9"/>
  <c r="T337" i="9"/>
  <c r="S337" i="9"/>
  <c r="R337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D337" i="9"/>
  <c r="C337" i="9"/>
  <c r="B337" i="9"/>
  <c r="G335" i="9"/>
  <c r="AQ328" i="9"/>
  <c r="AC328" i="9"/>
  <c r="AB328" i="9"/>
  <c r="AA328" i="9"/>
  <c r="U328" i="9"/>
  <c r="T328" i="9"/>
  <c r="S328" i="9"/>
  <c r="R328" i="9"/>
  <c r="Q328" i="9"/>
  <c r="P328" i="9"/>
  <c r="I9" i="10" s="1"/>
  <c r="O328" i="9"/>
  <c r="H9" i="10" s="1"/>
  <c r="N328" i="9"/>
  <c r="G9" i="10" s="1"/>
  <c r="M328" i="9"/>
  <c r="F9" i="10" s="1"/>
  <c r="L328" i="9"/>
  <c r="E9" i="10" s="1"/>
  <c r="K328" i="9"/>
  <c r="D9" i="10" s="1"/>
  <c r="J328" i="9"/>
  <c r="C9" i="10" s="1"/>
  <c r="L9" i="10" s="1"/>
  <c r="G328" i="9"/>
  <c r="H326" i="9"/>
  <c r="H325" i="9"/>
  <c r="AJ325" i="9" s="1"/>
  <c r="AL325" i="9" s="1"/>
  <c r="H324" i="9"/>
  <c r="I324" i="9" s="1"/>
  <c r="H323" i="9"/>
  <c r="I323" i="9" s="1"/>
  <c r="H322" i="9"/>
  <c r="H321" i="9"/>
  <c r="H320" i="9"/>
  <c r="H319" i="9"/>
  <c r="H318" i="9"/>
  <c r="H317" i="9"/>
  <c r="H316" i="9"/>
  <c r="H315" i="9"/>
  <c r="I315" i="9" s="1"/>
  <c r="H314" i="9"/>
  <c r="H313" i="9"/>
  <c r="H312" i="9"/>
  <c r="W312" i="9" s="1"/>
  <c r="AQ309" i="9"/>
  <c r="AE309" i="9"/>
  <c r="AC309" i="9"/>
  <c r="AB309" i="9"/>
  <c r="AA309" i="9"/>
  <c r="W309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D309" i="9"/>
  <c r="C309" i="9"/>
  <c r="B309" i="9"/>
  <c r="G307" i="9"/>
  <c r="AQ300" i="9"/>
  <c r="AC300" i="9"/>
  <c r="AB300" i="9"/>
  <c r="U300" i="9"/>
  <c r="T300" i="9"/>
  <c r="S300" i="9"/>
  <c r="R300" i="9"/>
  <c r="Q300" i="9"/>
  <c r="P300" i="9"/>
  <c r="I8" i="10" s="1"/>
  <c r="O300" i="9"/>
  <c r="H8" i="10" s="1"/>
  <c r="N300" i="9"/>
  <c r="G8" i="10" s="1"/>
  <c r="M300" i="9"/>
  <c r="F8" i="10" s="1"/>
  <c r="L300" i="9"/>
  <c r="E8" i="10" s="1"/>
  <c r="K300" i="9"/>
  <c r="D8" i="10" s="1"/>
  <c r="J300" i="9"/>
  <c r="C8" i="10" s="1"/>
  <c r="L8" i="10" s="1"/>
  <c r="G300" i="9"/>
  <c r="H298" i="9"/>
  <c r="W298" i="9" s="1"/>
  <c r="H297" i="9"/>
  <c r="H296" i="9"/>
  <c r="W296" i="9" s="1"/>
  <c r="H295" i="9"/>
  <c r="I295" i="9" s="1"/>
  <c r="H294" i="9"/>
  <c r="W294" i="9" s="1"/>
  <c r="H293" i="9"/>
  <c r="AJ293" i="9" s="1"/>
  <c r="AL293" i="9" s="1"/>
  <c r="H292" i="9"/>
  <c r="H291" i="9"/>
  <c r="H290" i="9"/>
  <c r="W290" i="9" s="1"/>
  <c r="H289" i="9"/>
  <c r="W289" i="9" s="1"/>
  <c r="H288" i="9"/>
  <c r="W288" i="9" s="1"/>
  <c r="H287" i="9"/>
  <c r="I287" i="9" s="1"/>
  <c r="H286" i="9"/>
  <c r="W286" i="9" s="1"/>
  <c r="H285" i="9"/>
  <c r="H284" i="9"/>
  <c r="H283" i="9"/>
  <c r="I283" i="9" s="1"/>
  <c r="H282" i="9"/>
  <c r="W282" i="9" s="1"/>
  <c r="H281" i="9"/>
  <c r="H280" i="9"/>
  <c r="H279" i="9"/>
  <c r="I279" i="9" s="1"/>
  <c r="H278" i="9"/>
  <c r="W278" i="9" s="1"/>
  <c r="H277" i="9"/>
  <c r="AA300" i="9"/>
  <c r="H276" i="9"/>
  <c r="W276" i="9" s="1"/>
  <c r="H275" i="9"/>
  <c r="AQ272" i="9"/>
  <c r="AE272" i="9"/>
  <c r="AC272" i="9"/>
  <c r="AB272" i="9"/>
  <c r="AA272" i="9"/>
  <c r="W272" i="9"/>
  <c r="U272" i="9"/>
  <c r="T272" i="9"/>
  <c r="S272" i="9"/>
  <c r="R272" i="9"/>
  <c r="Q272" i="9"/>
  <c r="P272" i="9"/>
  <c r="O272" i="9"/>
  <c r="N272" i="9"/>
  <c r="M272" i="9"/>
  <c r="L272" i="9"/>
  <c r="K272" i="9"/>
  <c r="J272" i="9"/>
  <c r="I272" i="9"/>
  <c r="H272" i="9"/>
  <c r="G272" i="9"/>
  <c r="F272" i="9"/>
  <c r="D272" i="9"/>
  <c r="C272" i="9"/>
  <c r="B272" i="9"/>
  <c r="G270" i="9"/>
  <c r="AS263" i="9"/>
  <c r="AQ263" i="9"/>
  <c r="AC263" i="9"/>
  <c r="AB263" i="9"/>
  <c r="AA263" i="9"/>
  <c r="T263" i="9"/>
  <c r="S263" i="9"/>
  <c r="R263" i="9"/>
  <c r="Q263" i="9"/>
  <c r="P263" i="9"/>
  <c r="I7" i="10" s="1"/>
  <c r="O263" i="9"/>
  <c r="H7" i="10" s="1"/>
  <c r="N263" i="9"/>
  <c r="G7" i="10" s="1"/>
  <c r="M263" i="9"/>
  <c r="F7" i="10" s="1"/>
  <c r="L263" i="9"/>
  <c r="E7" i="10" s="1"/>
  <c r="K263" i="9"/>
  <c r="D7" i="10" s="1"/>
  <c r="J263" i="9"/>
  <c r="C7" i="10" s="1"/>
  <c r="L7" i="10" s="1"/>
  <c r="G263" i="9"/>
  <c r="H261" i="9"/>
  <c r="W261" i="9" s="1"/>
  <c r="H260" i="9"/>
  <c r="H259" i="9"/>
  <c r="W259" i="9" s="1"/>
  <c r="H258" i="9"/>
  <c r="H257" i="9"/>
  <c r="W257" i="9" s="1"/>
  <c r="H256" i="9"/>
  <c r="H255" i="9"/>
  <c r="W255" i="9" s="1"/>
  <c r="H254" i="9"/>
  <c r="H253" i="9"/>
  <c r="W253" i="9" s="1"/>
  <c r="H252" i="9"/>
  <c r="AJ252" i="9" s="1"/>
  <c r="AL252" i="9" s="1"/>
  <c r="H251" i="9"/>
  <c r="W251" i="9" s="1"/>
  <c r="H250" i="9"/>
  <c r="AJ250" i="9" s="1"/>
  <c r="AL250" i="9" s="1"/>
  <c r="H249" i="9"/>
  <c r="H248" i="9"/>
  <c r="AJ248" i="9" s="1"/>
  <c r="AL248" i="9" s="1"/>
  <c r="H247" i="9"/>
  <c r="W247" i="9" s="1"/>
  <c r="H246" i="9"/>
  <c r="H245" i="9"/>
  <c r="H244" i="9"/>
  <c r="AJ244" i="9" s="1"/>
  <c r="AL244" i="9" s="1"/>
  <c r="H243" i="9"/>
  <c r="H241" i="9"/>
  <c r="W241" i="9" s="1"/>
  <c r="H240" i="9"/>
  <c r="H239" i="9"/>
  <c r="H238" i="9"/>
  <c r="I238" i="9" s="1"/>
  <c r="H237" i="9"/>
  <c r="W237" i="9" s="1"/>
  <c r="H236" i="9"/>
  <c r="H235" i="9"/>
  <c r="AJ235" i="9" s="1"/>
  <c r="AL235" i="9" s="1"/>
  <c r="H234" i="9"/>
  <c r="I234" i="9" s="1"/>
  <c r="H233" i="9"/>
  <c r="H232" i="9"/>
  <c r="H231" i="9"/>
  <c r="AJ231" i="9" s="1"/>
  <c r="AL231" i="9" s="1"/>
  <c r="H230" i="9"/>
  <c r="AE227" i="9"/>
  <c r="AC227" i="9"/>
  <c r="AB227" i="9"/>
  <c r="AA227" i="9"/>
  <c r="W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D227" i="9"/>
  <c r="C227" i="9"/>
  <c r="B227" i="9"/>
  <c r="G225" i="9"/>
  <c r="AQ218" i="9"/>
  <c r="AC218" i="9"/>
  <c r="AB218" i="9"/>
  <c r="AA218" i="9"/>
  <c r="U218" i="9"/>
  <c r="T218" i="9"/>
  <c r="S218" i="9"/>
  <c r="R218" i="9"/>
  <c r="Q218" i="9"/>
  <c r="P218" i="9"/>
  <c r="I6" i="10" s="1"/>
  <c r="O218" i="9"/>
  <c r="N218" i="9"/>
  <c r="G6" i="10" s="1"/>
  <c r="M218" i="9"/>
  <c r="F6" i="10" s="1"/>
  <c r="L218" i="9"/>
  <c r="E6" i="10" s="1"/>
  <c r="K218" i="9"/>
  <c r="D6" i="10" s="1"/>
  <c r="J218" i="9"/>
  <c r="C6" i="10" s="1"/>
  <c r="L6" i="10" s="1"/>
  <c r="G218" i="9"/>
  <c r="H216" i="9"/>
  <c r="AJ216" i="9" s="1"/>
  <c r="AL216" i="9" s="1"/>
  <c r="H215" i="9"/>
  <c r="H214" i="9"/>
  <c r="W214" i="9" s="1"/>
  <c r="H213" i="9"/>
  <c r="H212" i="9"/>
  <c r="W212" i="9" s="1"/>
  <c r="H211" i="9"/>
  <c r="H210" i="9"/>
  <c r="I210" i="9" s="1"/>
  <c r="H209" i="9"/>
  <c r="I209" i="9" s="1"/>
  <c r="H208" i="9"/>
  <c r="W208" i="9" s="1"/>
  <c r="H207" i="9"/>
  <c r="H206" i="9"/>
  <c r="I206" i="9" s="1"/>
  <c r="H205" i="9"/>
  <c r="I205" i="9" s="1"/>
  <c r="H204" i="9"/>
  <c r="H203" i="9"/>
  <c r="I203" i="9" s="1"/>
  <c r="H202" i="9"/>
  <c r="I202" i="9" s="1"/>
  <c r="H201" i="9"/>
  <c r="H200" i="9"/>
  <c r="H199" i="9"/>
  <c r="H198" i="9"/>
  <c r="I198" i="9" s="1"/>
  <c r="H197" i="9"/>
  <c r="I197" i="9" s="1"/>
  <c r="H196" i="9"/>
  <c r="H195" i="9"/>
  <c r="H194" i="9"/>
  <c r="I194" i="9" s="1"/>
  <c r="H193" i="9"/>
  <c r="I193" i="9" s="1"/>
  <c r="H192" i="9"/>
  <c r="W192" i="9" s="1"/>
  <c r="H191" i="9"/>
  <c r="H190" i="9"/>
  <c r="H189" i="9"/>
  <c r="I189" i="9" s="1"/>
  <c r="H188" i="9"/>
  <c r="H187" i="9"/>
  <c r="H186" i="9"/>
  <c r="I186" i="9" s="1"/>
  <c r="H185" i="9"/>
  <c r="I185" i="9" s="1"/>
  <c r="H184" i="9"/>
  <c r="W184" i="9" s="1"/>
  <c r="H183" i="9"/>
  <c r="H182" i="9"/>
  <c r="I182" i="9" s="1"/>
  <c r="H181" i="9"/>
  <c r="I181" i="9" s="1"/>
  <c r="H180" i="9"/>
  <c r="H179" i="9"/>
  <c r="AJ179" i="9" s="1"/>
  <c r="AL179" i="9" s="1"/>
  <c r="H178" i="9"/>
  <c r="H177" i="9"/>
  <c r="W177" i="9" s="1"/>
  <c r="H176" i="9"/>
  <c r="W176" i="9" s="1"/>
  <c r="H175" i="9"/>
  <c r="W175" i="9" s="1"/>
  <c r="H174" i="9"/>
  <c r="AQ171" i="9"/>
  <c r="AE171" i="9"/>
  <c r="AC171" i="9"/>
  <c r="AB171" i="9"/>
  <c r="AA171" i="9"/>
  <c r="W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D171" i="9"/>
  <c r="C171" i="9"/>
  <c r="B171" i="9"/>
  <c r="G169" i="9"/>
  <c r="AQ162" i="9"/>
  <c r="AC162" i="9"/>
  <c r="AB162" i="9"/>
  <c r="AA162" i="9"/>
  <c r="U162" i="9"/>
  <c r="T162" i="9"/>
  <c r="S162" i="9"/>
  <c r="R162" i="9"/>
  <c r="Q162" i="9"/>
  <c r="P162" i="9"/>
  <c r="I5" i="10" s="1"/>
  <c r="O162" i="9"/>
  <c r="H5" i="10" s="1"/>
  <c r="N162" i="9"/>
  <c r="G5" i="10" s="1"/>
  <c r="M162" i="9"/>
  <c r="F5" i="10" s="1"/>
  <c r="L162" i="9"/>
  <c r="E5" i="10" s="1"/>
  <c r="K162" i="9"/>
  <c r="D5" i="10" s="1"/>
  <c r="J162" i="9"/>
  <c r="C5" i="10" s="1"/>
  <c r="L5" i="10" s="1"/>
  <c r="G162" i="9"/>
  <c r="AJ160" i="9"/>
  <c r="AL160" i="9" s="1"/>
  <c r="I154" i="9"/>
  <c r="I153" i="9"/>
  <c r="AJ152" i="9"/>
  <c r="AL152" i="9" s="1"/>
  <c r="H151" i="9"/>
  <c r="H150" i="9"/>
  <c r="H149" i="9"/>
  <c r="H148" i="9"/>
  <c r="H147" i="9"/>
  <c r="H146" i="9"/>
  <c r="I146" i="9" s="1"/>
  <c r="H145" i="9"/>
  <c r="H144" i="9"/>
  <c r="H143" i="9"/>
  <c r="H142" i="9"/>
  <c r="H141" i="9"/>
  <c r="H140" i="9"/>
  <c r="AJ139" i="9"/>
  <c r="AL139" i="9" s="1"/>
  <c r="I138" i="9"/>
  <c r="H136" i="9"/>
  <c r="H135" i="9"/>
  <c r="H134" i="9"/>
  <c r="AQ131" i="9"/>
  <c r="AE131" i="9"/>
  <c r="AC131" i="9"/>
  <c r="AB131" i="9"/>
  <c r="AA131" i="9"/>
  <c r="W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D131" i="9"/>
  <c r="C131" i="9"/>
  <c r="B131" i="9"/>
  <c r="G129" i="9"/>
  <c r="AQ122" i="9"/>
  <c r="AC122" i="9"/>
  <c r="AB122" i="9"/>
  <c r="AA122" i="9"/>
  <c r="I4" i="10"/>
  <c r="H4" i="10"/>
  <c r="G4" i="10"/>
  <c r="F4" i="10"/>
  <c r="E4" i="10"/>
  <c r="D4" i="10"/>
  <c r="C4" i="10"/>
  <c r="L4" i="10" s="1"/>
  <c r="G122" i="9"/>
  <c r="H120" i="9"/>
  <c r="I120" i="9" s="1"/>
  <c r="H119" i="9"/>
  <c r="W119" i="9" s="1"/>
  <c r="H118" i="9"/>
  <c r="I118" i="9" s="1"/>
  <c r="H117" i="9"/>
  <c r="H116" i="9"/>
  <c r="I116" i="9" s="1"/>
  <c r="H115" i="9"/>
  <c r="H114" i="9"/>
  <c r="I114" i="9" s="1"/>
  <c r="H113" i="9"/>
  <c r="W113" i="9" s="1"/>
  <c r="H112" i="9"/>
  <c r="H111" i="9"/>
  <c r="W111" i="9" s="1"/>
  <c r="H110" i="9"/>
  <c r="H109" i="9"/>
  <c r="W109" i="9" s="1"/>
  <c r="H108" i="9"/>
  <c r="H107" i="9"/>
  <c r="W107" i="9" s="1"/>
  <c r="H106" i="9"/>
  <c r="W106" i="9" s="1"/>
  <c r="H105" i="9"/>
  <c r="H104" i="9"/>
  <c r="W104" i="9" s="1"/>
  <c r="H103" i="9"/>
  <c r="I103" i="9" s="1"/>
  <c r="H102" i="9"/>
  <c r="AJ102" i="9" s="1"/>
  <c r="AL102" i="9" s="1"/>
  <c r="H101" i="9"/>
  <c r="H100" i="9"/>
  <c r="H99" i="9"/>
  <c r="AJ99" i="9" s="1"/>
  <c r="AL99" i="9" s="1"/>
  <c r="H98" i="9"/>
  <c r="H97" i="9"/>
  <c r="W97" i="9" s="1"/>
  <c r="H96" i="9"/>
  <c r="AQ93" i="9"/>
  <c r="AE93" i="9"/>
  <c r="AC93" i="9"/>
  <c r="AB93" i="9"/>
  <c r="AA93" i="9"/>
  <c r="W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D93" i="9"/>
  <c r="C93" i="9"/>
  <c r="B93" i="9"/>
  <c r="G91" i="9"/>
  <c r="AQ84" i="9"/>
  <c r="AC84" i="9"/>
  <c r="AB84" i="9"/>
  <c r="AA84" i="9"/>
  <c r="U84" i="9"/>
  <c r="T84" i="9"/>
  <c r="S84" i="9"/>
  <c r="R84" i="9"/>
  <c r="Q84" i="9"/>
  <c r="P84" i="9"/>
  <c r="I3" i="10" s="1"/>
  <c r="O84" i="9"/>
  <c r="H3" i="10" s="1"/>
  <c r="N84" i="9"/>
  <c r="G3" i="10" s="1"/>
  <c r="M84" i="9"/>
  <c r="F3" i="10" s="1"/>
  <c r="L84" i="9"/>
  <c r="E3" i="10" s="1"/>
  <c r="K84" i="9"/>
  <c r="D3" i="10" s="1"/>
  <c r="J84" i="9"/>
  <c r="C3" i="10" s="1"/>
  <c r="L3" i="10" s="1"/>
  <c r="G84" i="9"/>
  <c r="H82" i="9"/>
  <c r="H81" i="9"/>
  <c r="H80" i="9"/>
  <c r="H79" i="9"/>
  <c r="AJ79" i="9" s="1"/>
  <c r="AL79" i="9" s="1"/>
  <c r="H78" i="9"/>
  <c r="I78" i="9" s="1"/>
  <c r="H77" i="9"/>
  <c r="H76" i="9"/>
  <c r="H75" i="9"/>
  <c r="H74" i="9"/>
  <c r="I74" i="9" s="1"/>
  <c r="H73" i="9"/>
  <c r="AJ73" i="9" s="1"/>
  <c r="AL73" i="9" s="1"/>
  <c r="H72" i="9"/>
  <c r="I72" i="9" s="1"/>
  <c r="H71" i="9"/>
  <c r="H70" i="9"/>
  <c r="H69" i="9"/>
  <c r="H68" i="9"/>
  <c r="H67" i="9"/>
  <c r="W67" i="9" s="1"/>
  <c r="H66" i="9"/>
  <c r="I66" i="9" s="1"/>
  <c r="H65" i="9"/>
  <c r="H64" i="9"/>
  <c r="H63" i="9"/>
  <c r="I63" i="9" s="1"/>
  <c r="H62" i="9"/>
  <c r="H61" i="9"/>
  <c r="H60" i="9"/>
  <c r="H59" i="9"/>
  <c r="H58" i="9"/>
  <c r="I58" i="9" s="1"/>
  <c r="H57" i="9"/>
  <c r="H56" i="9"/>
  <c r="H55" i="9"/>
  <c r="H54" i="9"/>
  <c r="H53" i="9"/>
  <c r="AH84" i="9"/>
  <c r="S11" i="8" s="1"/>
  <c r="U11" i="8" s="1"/>
  <c r="H52" i="9"/>
  <c r="I52" i="9" s="1"/>
  <c r="AQ49" i="9"/>
  <c r="AE49" i="9"/>
  <c r="AC49" i="9"/>
  <c r="AB49" i="9"/>
  <c r="AA49" i="9"/>
  <c r="W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D49" i="9"/>
  <c r="C49" i="9"/>
  <c r="B49" i="9"/>
  <c r="G47" i="9"/>
  <c r="AQ40" i="9"/>
  <c r="AC40" i="9"/>
  <c r="AB40" i="9"/>
  <c r="AA40" i="9"/>
  <c r="U40" i="9"/>
  <c r="T40" i="9"/>
  <c r="S40" i="9"/>
  <c r="R40" i="9"/>
  <c r="Q40" i="9"/>
  <c r="P40" i="9"/>
  <c r="I2" i="10" s="1"/>
  <c r="O40" i="9"/>
  <c r="H2" i="10" s="1"/>
  <c r="N40" i="9"/>
  <c r="G2" i="10" s="1"/>
  <c r="M40" i="9"/>
  <c r="F2" i="10" s="1"/>
  <c r="L40" i="9"/>
  <c r="E2" i="10" s="1"/>
  <c r="K40" i="9"/>
  <c r="D2" i="10" s="1"/>
  <c r="J40" i="9"/>
  <c r="C2" i="10" s="1"/>
  <c r="G40" i="9"/>
  <c r="H38" i="9"/>
  <c r="AJ38" i="9" s="1"/>
  <c r="AL38" i="9" s="1"/>
  <c r="H37" i="9"/>
  <c r="AJ37" i="9" s="1"/>
  <c r="AL37" i="9" s="1"/>
  <c r="H36" i="9"/>
  <c r="W36" i="9" s="1"/>
  <c r="H35" i="9"/>
  <c r="AJ35" i="9" s="1"/>
  <c r="AL35" i="9" s="1"/>
  <c r="H34" i="9"/>
  <c r="AJ34" i="9" s="1"/>
  <c r="AL34" i="9" s="1"/>
  <c r="H33" i="9"/>
  <c r="H32" i="9"/>
  <c r="AJ32" i="9" s="1"/>
  <c r="AL32" i="9" s="1"/>
  <c r="H31" i="9"/>
  <c r="H30" i="9"/>
  <c r="AJ30" i="9" s="1"/>
  <c r="AL30" i="9" s="1"/>
  <c r="H29" i="9"/>
  <c r="AJ29" i="9" s="1"/>
  <c r="AL29" i="9" s="1"/>
  <c r="H28" i="9"/>
  <c r="AJ28" i="9" s="1"/>
  <c r="AL28" i="9" s="1"/>
  <c r="H27" i="9"/>
  <c r="H26" i="9"/>
  <c r="H25" i="9"/>
  <c r="W25" i="9" s="1"/>
  <c r="H23" i="9"/>
  <c r="H22" i="9"/>
  <c r="H21" i="9"/>
  <c r="H20" i="9"/>
  <c r="W20" i="9" s="1"/>
  <c r="H19" i="9"/>
  <c r="AJ19" i="9" s="1"/>
  <c r="AL19" i="9" s="1"/>
  <c r="H18" i="9"/>
  <c r="AJ18" i="9" s="1"/>
  <c r="AL18" i="9" s="1"/>
  <c r="H17" i="9"/>
  <c r="AJ17" i="9" s="1"/>
  <c r="AL17" i="9" s="1"/>
  <c r="H16" i="9"/>
  <c r="W16" i="9" s="1"/>
  <c r="H15" i="9"/>
  <c r="W15" i="9" s="1"/>
  <c r="H14" i="9"/>
  <c r="H13" i="9"/>
  <c r="H12" i="9"/>
  <c r="H11" i="9"/>
  <c r="H10" i="9"/>
  <c r="AJ10" i="9" s="1"/>
  <c r="AL10" i="9" s="1"/>
  <c r="H9" i="9"/>
  <c r="W9" i="9" s="1"/>
  <c r="H8" i="9"/>
  <c r="D37" i="4" l="1"/>
  <c r="D19" i="4"/>
  <c r="D23" i="4"/>
  <c r="D80" i="4"/>
  <c r="D44" i="4"/>
  <c r="D52" i="4"/>
  <c r="C31" i="4"/>
  <c r="I33" i="4"/>
  <c r="C34" i="4"/>
  <c r="I36" i="4"/>
  <c r="I31" i="4"/>
  <c r="C37" i="4"/>
  <c r="C32" i="4"/>
  <c r="I34" i="4"/>
  <c r="I37" i="4"/>
  <c r="C35" i="4"/>
  <c r="I32" i="4"/>
  <c r="C36" i="4"/>
  <c r="C33" i="4"/>
  <c r="I35" i="4"/>
  <c r="I175" i="4"/>
  <c r="I167" i="4"/>
  <c r="I155" i="4"/>
  <c r="I143" i="4"/>
  <c r="I127" i="4"/>
  <c r="I115" i="4"/>
  <c r="I107" i="4"/>
  <c r="I85" i="4"/>
  <c r="I73" i="4"/>
  <c r="I61" i="4"/>
  <c r="I53" i="4"/>
  <c r="I44" i="4"/>
  <c r="I20" i="4"/>
  <c r="I11" i="4"/>
  <c r="C179" i="4"/>
  <c r="C172" i="4"/>
  <c r="C161" i="4"/>
  <c r="C149" i="4"/>
  <c r="C137" i="4"/>
  <c r="C125" i="4"/>
  <c r="C114" i="4"/>
  <c r="C107" i="4"/>
  <c r="C86" i="4"/>
  <c r="C74" i="4"/>
  <c r="C62" i="4"/>
  <c r="C54" i="4"/>
  <c r="C45" i="4"/>
  <c r="C21" i="4"/>
  <c r="C9" i="4"/>
  <c r="C8" i="4"/>
  <c r="I47" i="4"/>
  <c r="J47" i="4" s="1"/>
  <c r="I174" i="4"/>
  <c r="I162" i="4"/>
  <c r="I154" i="4"/>
  <c r="I138" i="4"/>
  <c r="I126" i="4"/>
  <c r="I114" i="4"/>
  <c r="I92" i="4"/>
  <c r="I84" i="4"/>
  <c r="I72" i="4"/>
  <c r="I60" i="4"/>
  <c r="I52" i="4"/>
  <c r="I43" i="4"/>
  <c r="I19" i="4"/>
  <c r="I12" i="4"/>
  <c r="C178" i="4"/>
  <c r="D171" i="4"/>
  <c r="C160" i="4"/>
  <c r="C148" i="4"/>
  <c r="C136" i="4"/>
  <c r="C124" i="4"/>
  <c r="C113" i="4"/>
  <c r="D92" i="4"/>
  <c r="C85" i="4"/>
  <c r="C73" i="4"/>
  <c r="C61" i="4"/>
  <c r="C53" i="4"/>
  <c r="C44" i="4"/>
  <c r="C20" i="4"/>
  <c r="I181" i="4"/>
  <c r="I173" i="4"/>
  <c r="I161" i="4"/>
  <c r="I149" i="4"/>
  <c r="I137" i="4"/>
  <c r="I125" i="4"/>
  <c r="I113" i="4"/>
  <c r="I91" i="4"/>
  <c r="I83" i="4"/>
  <c r="I71" i="4"/>
  <c r="I59" i="4"/>
  <c r="I51" i="4"/>
  <c r="I42" i="4"/>
  <c r="I18" i="4"/>
  <c r="I6" i="4"/>
  <c r="C177" i="4"/>
  <c r="C171" i="4"/>
  <c r="C159" i="4"/>
  <c r="C147" i="4"/>
  <c r="C135" i="4"/>
  <c r="C123" i="4"/>
  <c r="D112" i="4"/>
  <c r="C92" i="4"/>
  <c r="C84" i="4"/>
  <c r="C72" i="4"/>
  <c r="C60" i="4"/>
  <c r="C52" i="4"/>
  <c r="I180" i="4"/>
  <c r="I172" i="4"/>
  <c r="I160" i="4"/>
  <c r="I148" i="4"/>
  <c r="I136" i="4"/>
  <c r="I124" i="4"/>
  <c r="I112" i="4"/>
  <c r="I90" i="4"/>
  <c r="I82" i="4"/>
  <c r="I70" i="4"/>
  <c r="I58" i="4"/>
  <c r="I50" i="4"/>
  <c r="I30" i="4"/>
  <c r="I17" i="4"/>
  <c r="C176" i="4"/>
  <c r="C170" i="4"/>
  <c r="C158" i="4"/>
  <c r="C146" i="4"/>
  <c r="C134" i="4"/>
  <c r="C122" i="4"/>
  <c r="C112" i="4"/>
  <c r="C91" i="4"/>
  <c r="C83" i="4"/>
  <c r="C71" i="4"/>
  <c r="C59" i="4"/>
  <c r="C51" i="4"/>
  <c r="C42" i="4"/>
  <c r="C18" i="4"/>
  <c r="C6" i="4"/>
  <c r="C23" i="4"/>
  <c r="I179" i="4"/>
  <c r="I171" i="4"/>
  <c r="I159" i="4"/>
  <c r="I147" i="4"/>
  <c r="I135" i="4"/>
  <c r="I123" i="4"/>
  <c r="I111" i="4"/>
  <c r="I89" i="4"/>
  <c r="I81" i="4"/>
  <c r="I69" i="4"/>
  <c r="I57" i="4"/>
  <c r="I49" i="4"/>
  <c r="I24" i="4"/>
  <c r="I7" i="4"/>
  <c r="C175" i="4"/>
  <c r="C169" i="4"/>
  <c r="C157" i="4"/>
  <c r="C145" i="4"/>
  <c r="C133" i="4"/>
  <c r="C117" i="4"/>
  <c r="C111" i="4"/>
  <c r="C90" i="4"/>
  <c r="C82" i="4"/>
  <c r="C70" i="4"/>
  <c r="C58" i="4"/>
  <c r="C50" i="4"/>
  <c r="C30" i="4"/>
  <c r="C17" i="4"/>
  <c r="C56" i="4"/>
  <c r="C19" i="4"/>
  <c r="I178" i="4"/>
  <c r="I170" i="4"/>
  <c r="I158" i="4"/>
  <c r="I146" i="4"/>
  <c r="I134" i="4"/>
  <c r="I122" i="4"/>
  <c r="I110" i="4"/>
  <c r="I88" i="4"/>
  <c r="I80" i="4"/>
  <c r="I68" i="4"/>
  <c r="I56" i="4"/>
  <c r="I48" i="4"/>
  <c r="I23" i="4"/>
  <c r="I8" i="4"/>
  <c r="C47" i="4"/>
  <c r="C174" i="4"/>
  <c r="C168" i="4"/>
  <c r="C156" i="4"/>
  <c r="C144" i="4"/>
  <c r="C128" i="4"/>
  <c r="C116" i="4"/>
  <c r="C110" i="4"/>
  <c r="C89" i="4"/>
  <c r="C81" i="4"/>
  <c r="C69" i="4"/>
  <c r="C57" i="4"/>
  <c r="C49" i="4"/>
  <c r="C24" i="4"/>
  <c r="C12" i="4"/>
  <c r="C11" i="4"/>
  <c r="I177" i="4"/>
  <c r="I169" i="4"/>
  <c r="I157" i="4"/>
  <c r="I145" i="4"/>
  <c r="I133" i="4"/>
  <c r="I117" i="4"/>
  <c r="I109" i="4"/>
  <c r="I87" i="4"/>
  <c r="I75" i="4"/>
  <c r="I67" i="4"/>
  <c r="I55" i="4"/>
  <c r="I46" i="4"/>
  <c r="I22" i="4"/>
  <c r="I9" i="4"/>
  <c r="C181" i="4"/>
  <c r="C173" i="4"/>
  <c r="C167" i="4"/>
  <c r="C155" i="4"/>
  <c r="C143" i="4"/>
  <c r="C127" i="4"/>
  <c r="D115" i="4"/>
  <c r="C109" i="4"/>
  <c r="C88" i="4"/>
  <c r="C80" i="4"/>
  <c r="C68" i="4"/>
  <c r="C48" i="4"/>
  <c r="C7" i="4"/>
  <c r="I176" i="4"/>
  <c r="I168" i="4"/>
  <c r="I156" i="4"/>
  <c r="I144" i="4"/>
  <c r="I128" i="4"/>
  <c r="I116" i="4"/>
  <c r="I108" i="4"/>
  <c r="I86" i="4"/>
  <c r="I74" i="4"/>
  <c r="I62" i="4"/>
  <c r="I54" i="4"/>
  <c r="I45" i="4"/>
  <c r="I21" i="4"/>
  <c r="I10" i="4"/>
  <c r="C180" i="4"/>
  <c r="D172" i="4"/>
  <c r="C162" i="4"/>
  <c r="C154" i="4"/>
  <c r="C138" i="4"/>
  <c r="C126" i="4"/>
  <c r="C115" i="4"/>
  <c r="C108" i="4"/>
  <c r="C87" i="4"/>
  <c r="C75" i="4"/>
  <c r="C67" i="4"/>
  <c r="C55" i="4"/>
  <c r="C46" i="4"/>
  <c r="C22" i="4"/>
  <c r="C10" i="4"/>
  <c r="C43" i="4"/>
  <c r="D59" i="4"/>
  <c r="D61" i="4"/>
  <c r="D57" i="4"/>
  <c r="D56" i="4"/>
  <c r="D60" i="4"/>
  <c r="D62" i="4"/>
  <c r="D46" i="4"/>
  <c r="D47" i="4"/>
  <c r="E47" i="4" s="1"/>
  <c r="D176" i="4"/>
  <c r="I508" i="9"/>
  <c r="D82" i="4"/>
  <c r="D122" i="4"/>
  <c r="D143" i="4"/>
  <c r="D145" i="4"/>
  <c r="D49" i="4"/>
  <c r="D43" i="4"/>
  <c r="D88" i="4"/>
  <c r="I219" i="9"/>
  <c r="D12" i="4"/>
  <c r="D158" i="4"/>
  <c r="H6" i="10"/>
  <c r="D69" i="4"/>
  <c r="D32" i="4"/>
  <c r="D18" i="4"/>
  <c r="I65" i="9"/>
  <c r="D21" i="4"/>
  <c r="D9" i="4"/>
  <c r="W23" i="9"/>
  <c r="D11" i="4"/>
  <c r="AJ501" i="9"/>
  <c r="AL501" i="9" s="1"/>
  <c r="D181" i="4"/>
  <c r="AJ500" i="9"/>
  <c r="AL500" i="9" s="1"/>
  <c r="D180" i="4"/>
  <c r="I499" i="9"/>
  <c r="D179" i="4"/>
  <c r="W498" i="9"/>
  <c r="D178" i="4"/>
  <c r="AJ497" i="9"/>
  <c r="AL497" i="9" s="1"/>
  <c r="D177" i="4"/>
  <c r="W495" i="9"/>
  <c r="D175" i="4"/>
  <c r="W494" i="9"/>
  <c r="D174" i="4"/>
  <c r="AJ493" i="9"/>
  <c r="AL493" i="9" s="1"/>
  <c r="D167" i="4"/>
  <c r="AJ492" i="9"/>
  <c r="AL492" i="9" s="1"/>
  <c r="D173" i="4"/>
  <c r="D169" i="4"/>
  <c r="I483" i="9"/>
  <c r="D170" i="4"/>
  <c r="I479" i="9"/>
  <c r="D168" i="4"/>
  <c r="AJ462" i="9"/>
  <c r="AL462" i="9" s="1"/>
  <c r="D162" i="4"/>
  <c r="AJ455" i="9"/>
  <c r="AL455" i="9" s="1"/>
  <c r="D160" i="4"/>
  <c r="AJ451" i="9"/>
  <c r="AL451" i="9" s="1"/>
  <c r="D159" i="4"/>
  <c r="AJ431" i="9"/>
  <c r="AL431" i="9" s="1"/>
  <c r="D156" i="4"/>
  <c r="D155" i="4"/>
  <c r="AJ420" i="9"/>
  <c r="AL420" i="9" s="1"/>
  <c r="D154" i="4"/>
  <c r="AJ419" i="9"/>
  <c r="AL419" i="9" s="1"/>
  <c r="D157" i="4"/>
  <c r="W399" i="9"/>
  <c r="D149" i="4"/>
  <c r="W396" i="9"/>
  <c r="D148" i="4"/>
  <c r="AJ390" i="9"/>
  <c r="AL390" i="9" s="1"/>
  <c r="D147" i="4"/>
  <c r="AJ382" i="9"/>
  <c r="AL382" i="9" s="1"/>
  <c r="D144" i="4"/>
  <c r="AJ376" i="9"/>
  <c r="AL376" i="9" s="1"/>
  <c r="D146" i="4"/>
  <c r="AJ354" i="9"/>
  <c r="AL354" i="9" s="1"/>
  <c r="D138" i="4"/>
  <c r="W350" i="9"/>
  <c r="D136" i="4"/>
  <c r="AJ346" i="9"/>
  <c r="AL346" i="9" s="1"/>
  <c r="D135" i="4"/>
  <c r="W345" i="9"/>
  <c r="D134" i="4"/>
  <c r="W343" i="9"/>
  <c r="D133" i="4"/>
  <c r="I340" i="9"/>
  <c r="D137" i="4"/>
  <c r="W326" i="9"/>
  <c r="D127" i="4"/>
  <c r="AJ321" i="9"/>
  <c r="AL321" i="9" s="1"/>
  <c r="D128" i="4"/>
  <c r="I320" i="9"/>
  <c r="D126" i="4"/>
  <c r="I319" i="9"/>
  <c r="D125" i="4"/>
  <c r="AJ316" i="9"/>
  <c r="AL316" i="9" s="1"/>
  <c r="D124" i="4"/>
  <c r="W314" i="9"/>
  <c r="D123" i="4"/>
  <c r="W297" i="9"/>
  <c r="D113" i="4"/>
  <c r="W292" i="9"/>
  <c r="D114" i="4"/>
  <c r="I291" i="9"/>
  <c r="D116" i="4"/>
  <c r="W285" i="9"/>
  <c r="D110" i="4"/>
  <c r="W284" i="9"/>
  <c r="D109" i="4"/>
  <c r="W281" i="9"/>
  <c r="D117" i="4"/>
  <c r="W280" i="9"/>
  <c r="D108" i="4"/>
  <c r="AJ277" i="9"/>
  <c r="AL277" i="9" s="1"/>
  <c r="D111" i="4"/>
  <c r="W275" i="9"/>
  <c r="D107" i="4"/>
  <c r="I256" i="9"/>
  <c r="D91" i="4"/>
  <c r="W254" i="9"/>
  <c r="D90" i="4"/>
  <c r="W249" i="9"/>
  <c r="D84" i="4"/>
  <c r="W245" i="9"/>
  <c r="D87" i="4"/>
  <c r="W243" i="9"/>
  <c r="D86" i="4"/>
  <c r="I239" i="9"/>
  <c r="D83" i="4"/>
  <c r="W233" i="9"/>
  <c r="D81" i="4"/>
  <c r="I230" i="9"/>
  <c r="D89" i="4"/>
  <c r="D73" i="4"/>
  <c r="I201" i="9"/>
  <c r="D74" i="4"/>
  <c r="I199" i="9"/>
  <c r="D75" i="4"/>
  <c r="I190" i="9"/>
  <c r="D71" i="4"/>
  <c r="I187" i="9"/>
  <c r="D72" i="4"/>
  <c r="I183" i="9"/>
  <c r="D70" i="4"/>
  <c r="D68" i="4"/>
  <c r="D67" i="4"/>
  <c r="I151" i="9"/>
  <c r="D58" i="4"/>
  <c r="D55" i="4"/>
  <c r="D54" i="4"/>
  <c r="I147" i="9"/>
  <c r="D53" i="4"/>
  <c r="AJ145" i="9"/>
  <c r="AL145" i="9" s="1"/>
  <c r="D48" i="4"/>
  <c r="I143" i="9"/>
  <c r="D51" i="4"/>
  <c r="I142" i="9"/>
  <c r="D50" i="4"/>
  <c r="AJ136" i="9"/>
  <c r="AL136" i="9" s="1"/>
  <c r="D45" i="4"/>
  <c r="W134" i="9"/>
  <c r="D42" i="4"/>
  <c r="W115" i="9"/>
  <c r="D36" i="4"/>
  <c r="D35" i="4"/>
  <c r="I105" i="9"/>
  <c r="D34" i="4"/>
  <c r="W101" i="9"/>
  <c r="D33" i="4"/>
  <c r="I100" i="9"/>
  <c r="D31" i="4"/>
  <c r="W96" i="9"/>
  <c r="D30" i="4"/>
  <c r="D22" i="4"/>
  <c r="AJ57" i="9"/>
  <c r="AL57" i="9" s="1"/>
  <c r="D24" i="4"/>
  <c r="D20" i="4"/>
  <c r="D17" i="4"/>
  <c r="AJ27" i="9"/>
  <c r="AL27" i="9" s="1"/>
  <c r="D10" i="4"/>
  <c r="I12" i="9"/>
  <c r="D8" i="4"/>
  <c r="AJ11" i="9"/>
  <c r="AL11" i="9" s="1"/>
  <c r="D7" i="4"/>
  <c r="W8" i="9"/>
  <c r="D6" i="4"/>
  <c r="I407" i="9"/>
  <c r="I468" i="9"/>
  <c r="I123" i="9"/>
  <c r="I329" i="9"/>
  <c r="D15" i="10"/>
  <c r="G15" i="10"/>
  <c r="M4" i="10"/>
  <c r="L36" i="10"/>
  <c r="M10" i="10"/>
  <c r="L42" i="10"/>
  <c r="M13" i="10"/>
  <c r="L45" i="10"/>
  <c r="E15" i="10"/>
  <c r="M12" i="10"/>
  <c r="L44" i="10"/>
  <c r="F15" i="10"/>
  <c r="M3" i="10"/>
  <c r="L35" i="10"/>
  <c r="M8" i="10"/>
  <c r="L40" i="10"/>
  <c r="M9" i="10"/>
  <c r="L41" i="10"/>
  <c r="H15" i="10"/>
  <c r="M7" i="10"/>
  <c r="L39" i="10"/>
  <c r="M11" i="10"/>
  <c r="L43" i="10"/>
  <c r="M6" i="10"/>
  <c r="L38" i="10"/>
  <c r="M5" i="10"/>
  <c r="L37" i="10"/>
  <c r="L2" i="10"/>
  <c r="C15" i="10"/>
  <c r="I15" i="10"/>
  <c r="I360" i="9"/>
  <c r="I264" i="9"/>
  <c r="G511" i="9"/>
  <c r="T511" i="9"/>
  <c r="L511" i="9"/>
  <c r="I163" i="9"/>
  <c r="W434" i="9"/>
  <c r="AJ178" i="9"/>
  <c r="AL178" i="9" s="1"/>
  <c r="AJ174" i="9"/>
  <c r="AL174" i="9" s="1"/>
  <c r="I344" i="9"/>
  <c r="S511" i="9"/>
  <c r="AC511" i="9"/>
  <c r="R511" i="9"/>
  <c r="AA511" i="9"/>
  <c r="P511" i="9"/>
  <c r="W160" i="9"/>
  <c r="AB511" i="9"/>
  <c r="Q511" i="9"/>
  <c r="O511" i="9"/>
  <c r="N511" i="9"/>
  <c r="U511" i="9"/>
  <c r="M511" i="9"/>
  <c r="W482" i="9"/>
  <c r="W230" i="9"/>
  <c r="Q510" i="9"/>
  <c r="S12" i="8"/>
  <c r="U12" i="8" s="1"/>
  <c r="AO162" i="9"/>
  <c r="J511" i="9"/>
  <c r="W103" i="9"/>
  <c r="AJ503" i="9"/>
  <c r="AL503" i="9" s="1"/>
  <c r="W114" i="9"/>
  <c r="W491" i="9"/>
  <c r="I487" i="9"/>
  <c r="W437" i="9"/>
  <c r="I452" i="9"/>
  <c r="AJ379" i="9"/>
  <c r="AL379" i="9" s="1"/>
  <c r="AJ142" i="9"/>
  <c r="AL142" i="9" s="1"/>
  <c r="M510" i="9"/>
  <c r="H40" i="9"/>
  <c r="W10" i="8" s="1"/>
  <c r="W501" i="9"/>
  <c r="AJ495" i="9"/>
  <c r="AL495" i="9" s="1"/>
  <c r="W483" i="9"/>
  <c r="W423" i="9"/>
  <c r="W419" i="9"/>
  <c r="W441" i="9"/>
  <c r="I454" i="9"/>
  <c r="I455" i="9"/>
  <c r="I396" i="9"/>
  <c r="I383" i="9"/>
  <c r="I347" i="9"/>
  <c r="W352" i="9"/>
  <c r="I316" i="9"/>
  <c r="AJ312" i="9"/>
  <c r="AL312" i="9" s="1"/>
  <c r="AJ295" i="9"/>
  <c r="AL295" i="9" s="1"/>
  <c r="W252" i="9"/>
  <c r="AJ488" i="9"/>
  <c r="AL488" i="9" s="1"/>
  <c r="AJ496" i="9"/>
  <c r="AL496" i="9" s="1"/>
  <c r="AJ481" i="9"/>
  <c r="AL481" i="9" s="1"/>
  <c r="AJ464" i="9"/>
  <c r="AL464" i="9" s="1"/>
  <c r="AJ424" i="9"/>
  <c r="AL424" i="9" s="1"/>
  <c r="AJ432" i="9"/>
  <c r="AL432" i="9" s="1"/>
  <c r="AJ458" i="9"/>
  <c r="AL458" i="9" s="1"/>
  <c r="AJ440" i="9"/>
  <c r="AL440" i="9" s="1"/>
  <c r="AJ448" i="9"/>
  <c r="AL448" i="9" s="1"/>
  <c r="AJ450" i="9"/>
  <c r="AL450" i="9" s="1"/>
  <c r="AJ348" i="9"/>
  <c r="AL348" i="9" s="1"/>
  <c r="AJ356" i="9"/>
  <c r="AL356" i="9" s="1"/>
  <c r="AJ258" i="9"/>
  <c r="AL258" i="9" s="1"/>
  <c r="AJ260" i="9"/>
  <c r="AL260" i="9" s="1"/>
  <c r="AJ246" i="9"/>
  <c r="AL246" i="9" s="1"/>
  <c r="AJ180" i="9"/>
  <c r="AL180" i="9" s="1"/>
  <c r="AJ196" i="9"/>
  <c r="AL196" i="9" s="1"/>
  <c r="AJ110" i="9"/>
  <c r="AL110" i="9" s="1"/>
  <c r="AJ14" i="9"/>
  <c r="AL14" i="9" s="1"/>
  <c r="AJ31" i="9"/>
  <c r="AL31" i="9" s="1"/>
  <c r="AJ22" i="9"/>
  <c r="AL22" i="9" s="1"/>
  <c r="AJ33" i="9"/>
  <c r="AL33" i="9" s="1"/>
  <c r="I490" i="9"/>
  <c r="AJ487" i="9"/>
  <c r="AL487" i="9" s="1"/>
  <c r="AJ490" i="9"/>
  <c r="AL490" i="9" s="1"/>
  <c r="I485" i="9"/>
  <c r="I423" i="9"/>
  <c r="AJ430" i="9"/>
  <c r="AL430" i="9" s="1"/>
  <c r="AJ434" i="9"/>
  <c r="AL434" i="9" s="1"/>
  <c r="W435" i="9"/>
  <c r="AJ445" i="9"/>
  <c r="AL445" i="9" s="1"/>
  <c r="AJ452" i="9"/>
  <c r="AL452" i="9" s="1"/>
  <c r="W455" i="9"/>
  <c r="AJ374" i="9"/>
  <c r="AL374" i="9" s="1"/>
  <c r="AJ387" i="9"/>
  <c r="AL387" i="9" s="1"/>
  <c r="AJ371" i="9"/>
  <c r="AL371" i="9" s="1"/>
  <c r="I375" i="9"/>
  <c r="AJ385" i="9"/>
  <c r="AL385" i="9" s="1"/>
  <c r="AJ375" i="9"/>
  <c r="AL375" i="9" s="1"/>
  <c r="I389" i="9"/>
  <c r="I350" i="9"/>
  <c r="I353" i="9"/>
  <c r="AJ323" i="9"/>
  <c r="AL323" i="9" s="1"/>
  <c r="AJ320" i="9"/>
  <c r="AL320" i="9" s="1"/>
  <c r="AJ315" i="9"/>
  <c r="AL315" i="9" s="1"/>
  <c r="W198" i="9"/>
  <c r="W203" i="9"/>
  <c r="I110" i="9"/>
  <c r="W110" i="9"/>
  <c r="AJ114" i="9"/>
  <c r="AL114" i="9" s="1"/>
  <c r="AJ100" i="9"/>
  <c r="AL100" i="9" s="1"/>
  <c r="AJ56" i="9"/>
  <c r="AL56" i="9" s="1"/>
  <c r="I10" i="9"/>
  <c r="W27" i="9"/>
  <c r="I33" i="9"/>
  <c r="AO507" i="9"/>
  <c r="AJ479" i="9"/>
  <c r="AL479" i="9" s="1"/>
  <c r="AJ498" i="9"/>
  <c r="AL498" i="9" s="1"/>
  <c r="I480" i="9"/>
  <c r="AJ502" i="9"/>
  <c r="AL502" i="9" s="1"/>
  <c r="W505" i="9"/>
  <c r="AJ480" i="9"/>
  <c r="AL480" i="9" s="1"/>
  <c r="I503" i="9"/>
  <c r="W489" i="9"/>
  <c r="AJ491" i="9"/>
  <c r="AL491" i="9" s="1"/>
  <c r="I498" i="9"/>
  <c r="I501" i="9"/>
  <c r="I493" i="9"/>
  <c r="I495" i="9"/>
  <c r="W497" i="9"/>
  <c r="W499" i="9"/>
  <c r="G531" i="9"/>
  <c r="AJ486" i="9"/>
  <c r="AL486" i="9" s="1"/>
  <c r="I489" i="9"/>
  <c r="W493" i="9"/>
  <c r="AJ499" i="9"/>
  <c r="AL499" i="9" s="1"/>
  <c r="I502" i="9"/>
  <c r="I482" i="9"/>
  <c r="W485" i="9"/>
  <c r="I494" i="9"/>
  <c r="AJ483" i="9"/>
  <c r="AL483" i="9" s="1"/>
  <c r="AJ494" i="9"/>
  <c r="AL494" i="9" s="1"/>
  <c r="H507" i="9"/>
  <c r="W21" i="8" s="1"/>
  <c r="Y21" i="8" s="1"/>
  <c r="I486" i="9"/>
  <c r="I497" i="9"/>
  <c r="AM507" i="9"/>
  <c r="AN507" i="9" s="1"/>
  <c r="AO467" i="9"/>
  <c r="I421" i="9"/>
  <c r="AJ426" i="9"/>
  <c r="AL426" i="9" s="1"/>
  <c r="I439" i="9"/>
  <c r="AJ441" i="9"/>
  <c r="AL441" i="9" s="1"/>
  <c r="W459" i="9"/>
  <c r="I444" i="9"/>
  <c r="I459" i="9"/>
  <c r="W421" i="9"/>
  <c r="W439" i="9"/>
  <c r="I426" i="9"/>
  <c r="I462" i="9"/>
  <c r="I419" i="9"/>
  <c r="I434" i="9"/>
  <c r="W445" i="9"/>
  <c r="W457" i="9"/>
  <c r="I463" i="9"/>
  <c r="AJ457" i="9"/>
  <c r="AL457" i="9" s="1"/>
  <c r="W425" i="9"/>
  <c r="W443" i="9"/>
  <c r="I432" i="9"/>
  <c r="I446" i="9"/>
  <c r="AJ461" i="9"/>
  <c r="AL461" i="9" s="1"/>
  <c r="I424" i="9"/>
  <c r="G530" i="9"/>
  <c r="I420" i="9"/>
  <c r="I422" i="9"/>
  <c r="I431" i="9"/>
  <c r="W433" i="9"/>
  <c r="I440" i="9"/>
  <c r="AJ442" i="9"/>
  <c r="AL442" i="9" s="1"/>
  <c r="I449" i="9"/>
  <c r="W451" i="9"/>
  <c r="W453" i="9"/>
  <c r="I418" i="9"/>
  <c r="AJ422" i="9"/>
  <c r="AL422" i="9" s="1"/>
  <c r="I427" i="9"/>
  <c r="I429" i="9"/>
  <c r="W431" i="9"/>
  <c r="I438" i="9"/>
  <c r="I447" i="9"/>
  <c r="AJ453" i="9"/>
  <c r="AL453" i="9" s="1"/>
  <c r="I458" i="9"/>
  <c r="AM467" i="9"/>
  <c r="AN467" i="9" s="1"/>
  <c r="I425" i="9"/>
  <c r="W429" i="9"/>
  <c r="I436" i="9"/>
  <c r="AJ438" i="9"/>
  <c r="AL438" i="9" s="1"/>
  <c r="W447" i="9"/>
  <c r="AJ449" i="9"/>
  <c r="AL449" i="9" s="1"/>
  <c r="AJ456" i="9"/>
  <c r="AL456" i="9" s="1"/>
  <c r="I461" i="9"/>
  <c r="W463" i="9"/>
  <c r="I433" i="9"/>
  <c r="I442" i="9"/>
  <c r="I451" i="9"/>
  <c r="I428" i="9"/>
  <c r="I430" i="9"/>
  <c r="I437" i="9"/>
  <c r="I448" i="9"/>
  <c r="I386" i="9"/>
  <c r="AJ391" i="9"/>
  <c r="AL391" i="9" s="1"/>
  <c r="I394" i="9"/>
  <c r="I397" i="9"/>
  <c r="I400" i="9"/>
  <c r="W384" i="9"/>
  <c r="I392" i="9"/>
  <c r="W379" i="9"/>
  <c r="I398" i="9"/>
  <c r="I401" i="9"/>
  <c r="I404" i="9"/>
  <c r="W382" i="9"/>
  <c r="AJ392" i="9"/>
  <c r="AL392" i="9" s="1"/>
  <c r="I391" i="9"/>
  <c r="I371" i="9"/>
  <c r="AJ384" i="9"/>
  <c r="AL384" i="9" s="1"/>
  <c r="W386" i="9"/>
  <c r="I388" i="9"/>
  <c r="I390" i="9"/>
  <c r="AJ393" i="9"/>
  <c r="AL393" i="9" s="1"/>
  <c r="AJ395" i="9"/>
  <c r="AL395" i="9" s="1"/>
  <c r="AJ399" i="9"/>
  <c r="AL399" i="9" s="1"/>
  <c r="O510" i="9"/>
  <c r="W390" i="9"/>
  <c r="AJ388" i="9"/>
  <c r="AL388" i="9" s="1"/>
  <c r="I385" i="9"/>
  <c r="W394" i="9"/>
  <c r="W398" i="9"/>
  <c r="I402" i="9"/>
  <c r="AJ383" i="9"/>
  <c r="AL383" i="9" s="1"/>
  <c r="I387" i="9"/>
  <c r="AJ396" i="9"/>
  <c r="AL396" i="9" s="1"/>
  <c r="AJ400" i="9"/>
  <c r="AL400" i="9" s="1"/>
  <c r="W402" i="9"/>
  <c r="AJ404" i="9"/>
  <c r="AL404" i="9" s="1"/>
  <c r="AM406" i="9"/>
  <c r="AN406" i="9" s="1"/>
  <c r="I382" i="9"/>
  <c r="I393" i="9"/>
  <c r="I395" i="9"/>
  <c r="I399" i="9"/>
  <c r="AO359" i="9"/>
  <c r="AO328" i="9"/>
  <c r="W342" i="9"/>
  <c r="I348" i="9"/>
  <c r="W346" i="9"/>
  <c r="I354" i="9"/>
  <c r="I357" i="9"/>
  <c r="W340" i="9"/>
  <c r="W348" i="9"/>
  <c r="N510" i="9"/>
  <c r="I349" i="9"/>
  <c r="I345" i="9"/>
  <c r="I351" i="9"/>
  <c r="I341" i="9"/>
  <c r="I343" i="9"/>
  <c r="AJ345" i="9"/>
  <c r="AL345" i="9" s="1"/>
  <c r="AJ349" i="9"/>
  <c r="AL349" i="9" s="1"/>
  <c r="AJ353" i="9"/>
  <c r="AL353" i="9" s="1"/>
  <c r="AJ357" i="9"/>
  <c r="AL357" i="9" s="1"/>
  <c r="AJ341" i="9"/>
  <c r="AL341" i="9" s="1"/>
  <c r="I346" i="9"/>
  <c r="I356" i="9"/>
  <c r="H359" i="9"/>
  <c r="W18" i="8" s="1"/>
  <c r="Y18" i="8" s="1"/>
  <c r="I342" i="9"/>
  <c r="W344" i="9"/>
  <c r="W354" i="9"/>
  <c r="W10" i="9"/>
  <c r="AJ13" i="9"/>
  <c r="AL13" i="9" s="1"/>
  <c r="I28" i="9"/>
  <c r="W28" i="9"/>
  <c r="I18" i="9"/>
  <c r="I11" i="9"/>
  <c r="W18" i="9"/>
  <c r="AJ16" i="9"/>
  <c r="AL16" i="9" s="1"/>
  <c r="I61" i="9"/>
  <c r="I60" i="9"/>
  <c r="AJ103" i="9"/>
  <c r="AL103" i="9" s="1"/>
  <c r="I106" i="9"/>
  <c r="AJ106" i="9"/>
  <c r="AL106" i="9" s="1"/>
  <c r="W100" i="9"/>
  <c r="W102" i="9"/>
  <c r="AJ107" i="9"/>
  <c r="AL107" i="9" s="1"/>
  <c r="I134" i="9"/>
  <c r="AJ158" i="9"/>
  <c r="AL158" i="9" s="1"/>
  <c r="AJ151" i="9"/>
  <c r="AL151" i="9" s="1"/>
  <c r="AJ157" i="9"/>
  <c r="AL157" i="9" s="1"/>
  <c r="W187" i="9"/>
  <c r="AJ201" i="9"/>
  <c r="AL201" i="9" s="1"/>
  <c r="W202" i="9"/>
  <c r="I248" i="9"/>
  <c r="W287" i="9"/>
  <c r="AC510" i="9"/>
  <c r="I312" i="9"/>
  <c r="W324" i="9"/>
  <c r="W316" i="9"/>
  <c r="AJ324" i="9"/>
  <c r="AL324" i="9" s="1"/>
  <c r="W320" i="9"/>
  <c r="W315" i="9"/>
  <c r="W323" i="9"/>
  <c r="W279" i="9"/>
  <c r="I286" i="9"/>
  <c r="I282" i="9"/>
  <c r="AJ287" i="9"/>
  <c r="AL287" i="9" s="1"/>
  <c r="W295" i="9"/>
  <c r="W283" i="9"/>
  <c r="I290" i="9"/>
  <c r="H300" i="9"/>
  <c r="I278" i="9"/>
  <c r="I294" i="9"/>
  <c r="W291" i="9"/>
  <c r="AJ291" i="9"/>
  <c r="AL291" i="9" s="1"/>
  <c r="I298" i="9"/>
  <c r="I276" i="9"/>
  <c r="I280" i="9"/>
  <c r="I284" i="9"/>
  <c r="I288" i="9"/>
  <c r="I292" i="9"/>
  <c r="I296" i="9"/>
  <c r="AJ278" i="9"/>
  <c r="AL278" i="9" s="1"/>
  <c r="AJ282" i="9"/>
  <c r="AL282" i="9" s="1"/>
  <c r="AJ286" i="9"/>
  <c r="AL286" i="9" s="1"/>
  <c r="AJ290" i="9"/>
  <c r="AL290" i="9" s="1"/>
  <c r="AJ294" i="9"/>
  <c r="AL294" i="9" s="1"/>
  <c r="AJ298" i="9"/>
  <c r="AL298" i="9" s="1"/>
  <c r="L510" i="9"/>
  <c r="T510" i="9"/>
  <c r="I277" i="9"/>
  <c r="I281" i="9"/>
  <c r="I285" i="9"/>
  <c r="I289" i="9"/>
  <c r="I293" i="9"/>
  <c r="I297" i="9"/>
  <c r="AJ275" i="9"/>
  <c r="AL275" i="9" s="1"/>
  <c r="W277" i="9"/>
  <c r="W293" i="9"/>
  <c r="AO263" i="9"/>
  <c r="W234" i="9"/>
  <c r="I245" i="9"/>
  <c r="W248" i="9"/>
  <c r="W235" i="9"/>
  <c r="I249" i="9"/>
  <c r="AJ239" i="9"/>
  <c r="AL239" i="9" s="1"/>
  <c r="I252" i="9"/>
  <c r="I244" i="9"/>
  <c r="W244" i="9"/>
  <c r="I235" i="9"/>
  <c r="W239" i="9"/>
  <c r="W246" i="9"/>
  <c r="W250" i="9"/>
  <c r="I254" i="9"/>
  <c r="W256" i="9"/>
  <c r="I258" i="9"/>
  <c r="W260" i="9"/>
  <c r="W258" i="9"/>
  <c r="I243" i="9"/>
  <c r="I247" i="9"/>
  <c r="I251" i="9"/>
  <c r="I253" i="9"/>
  <c r="I231" i="9"/>
  <c r="AJ245" i="9"/>
  <c r="AL245" i="9" s="1"/>
  <c r="AJ249" i="9"/>
  <c r="AL249" i="9" s="1"/>
  <c r="I255" i="9"/>
  <c r="I259" i="9"/>
  <c r="W231" i="9"/>
  <c r="AJ238" i="9"/>
  <c r="AL238" i="9" s="1"/>
  <c r="AJ253" i="9"/>
  <c r="AL253" i="9" s="1"/>
  <c r="AJ257" i="9"/>
  <c r="AL257" i="9" s="1"/>
  <c r="AJ261" i="9"/>
  <c r="AL261" i="9" s="1"/>
  <c r="I261" i="9"/>
  <c r="W238" i="9"/>
  <c r="I257" i="9"/>
  <c r="AA510" i="9"/>
  <c r="I246" i="9"/>
  <c r="I250" i="9"/>
  <c r="I260" i="9"/>
  <c r="W182" i="9"/>
  <c r="AJ177" i="9"/>
  <c r="AL177" i="9" s="1"/>
  <c r="AJ194" i="9"/>
  <c r="AL194" i="9" s="1"/>
  <c r="AJ203" i="9"/>
  <c r="AL203" i="9" s="1"/>
  <c r="W186" i="9"/>
  <c r="I176" i="9"/>
  <c r="AJ189" i="9"/>
  <c r="AL189" i="9" s="1"/>
  <c r="W193" i="9"/>
  <c r="I196" i="9"/>
  <c r="AJ205" i="9"/>
  <c r="AL205" i="9" s="1"/>
  <c r="I180" i="9"/>
  <c r="AJ187" i="9"/>
  <c r="AL187" i="9" s="1"/>
  <c r="W196" i="9"/>
  <c r="AJ198" i="9"/>
  <c r="AL198" i="9" s="1"/>
  <c r="AJ212" i="9"/>
  <c r="AL212" i="9" s="1"/>
  <c r="W180" i="9"/>
  <c r="AJ182" i="9"/>
  <c r="AL182" i="9" s="1"/>
  <c r="AJ185" i="9"/>
  <c r="AL185" i="9" s="1"/>
  <c r="AJ210" i="9"/>
  <c r="AL210" i="9" s="1"/>
  <c r="I216" i="9"/>
  <c r="W205" i="9"/>
  <c r="W216" i="9"/>
  <c r="AJ208" i="9"/>
  <c r="AL208" i="9" s="1"/>
  <c r="I179" i="9"/>
  <c r="W189" i="9"/>
  <c r="W179" i="9"/>
  <c r="AJ192" i="9"/>
  <c r="AL192" i="9" s="1"/>
  <c r="W209" i="9"/>
  <c r="I212" i="9"/>
  <c r="AJ149" i="9"/>
  <c r="AL149" i="9" s="1"/>
  <c r="AJ156" i="9"/>
  <c r="AL156" i="9" s="1"/>
  <c r="AJ141" i="9"/>
  <c r="AL141" i="9" s="1"/>
  <c r="G510" i="9"/>
  <c r="W136" i="9"/>
  <c r="W138" i="9"/>
  <c r="AJ153" i="9"/>
  <c r="AL153" i="9" s="1"/>
  <c r="AJ138" i="9"/>
  <c r="AL138" i="9" s="1"/>
  <c r="W142" i="9"/>
  <c r="I139" i="9"/>
  <c r="W143" i="9"/>
  <c r="AJ147" i="9"/>
  <c r="AL147" i="9" s="1"/>
  <c r="I150" i="9"/>
  <c r="W139" i="9"/>
  <c r="AJ143" i="9"/>
  <c r="AL143" i="9" s="1"/>
  <c r="AJ150" i="9"/>
  <c r="AL150" i="9" s="1"/>
  <c r="AJ154" i="9"/>
  <c r="AL154" i="9" s="1"/>
  <c r="I145" i="9"/>
  <c r="W145" i="9"/>
  <c r="AJ146" i="9"/>
  <c r="AL146" i="9" s="1"/>
  <c r="I149" i="9"/>
  <c r="AJ97" i="9"/>
  <c r="AL97" i="9" s="1"/>
  <c r="I113" i="9"/>
  <c r="W118" i="9"/>
  <c r="AJ104" i="9"/>
  <c r="AL104" i="9" s="1"/>
  <c r="AM122" i="9"/>
  <c r="AN122" i="9" s="1"/>
  <c r="AJ115" i="9"/>
  <c r="AL115" i="9" s="1"/>
  <c r="I96" i="9"/>
  <c r="AJ111" i="9"/>
  <c r="AL111" i="9" s="1"/>
  <c r="AJ118" i="9"/>
  <c r="AL118" i="9" s="1"/>
  <c r="AJ101" i="9"/>
  <c r="AL101" i="9" s="1"/>
  <c r="AJ119" i="9"/>
  <c r="AL119" i="9" s="1"/>
  <c r="W52" i="9"/>
  <c r="AJ76" i="9"/>
  <c r="AL76" i="9" s="1"/>
  <c r="AJ65" i="9"/>
  <c r="AL65" i="9" s="1"/>
  <c r="AJ69" i="9"/>
  <c r="AL69" i="9" s="1"/>
  <c r="AJ72" i="9"/>
  <c r="AL72" i="9" s="1"/>
  <c r="I55" i="9"/>
  <c r="I57" i="9"/>
  <c r="I68" i="9"/>
  <c r="I81" i="9"/>
  <c r="I53" i="9"/>
  <c r="AJ61" i="9"/>
  <c r="AL61" i="9" s="1"/>
  <c r="I64" i="9"/>
  <c r="AJ68" i="9"/>
  <c r="AL68" i="9" s="1"/>
  <c r="I71" i="9"/>
  <c r="I73" i="9"/>
  <c r="I77" i="9"/>
  <c r="AJ81" i="9"/>
  <c r="AL81" i="9" s="1"/>
  <c r="AJ53" i="9"/>
  <c r="AL53" i="9" s="1"/>
  <c r="AJ64" i="9"/>
  <c r="AL64" i="9" s="1"/>
  <c r="H84" i="9"/>
  <c r="I84" i="9" s="1"/>
  <c r="I56" i="9"/>
  <c r="I69" i="9"/>
  <c r="AJ77" i="9"/>
  <c r="AL77" i="9" s="1"/>
  <c r="I80" i="9"/>
  <c r="I54" i="9"/>
  <c r="AJ60" i="9"/>
  <c r="AL60" i="9" s="1"/>
  <c r="I76" i="9"/>
  <c r="AJ80" i="9"/>
  <c r="AL80" i="9" s="1"/>
  <c r="W32" i="9"/>
  <c r="W11" i="9"/>
  <c r="I19" i="9"/>
  <c r="AJ20" i="9"/>
  <c r="AL20" i="9" s="1"/>
  <c r="I25" i="9"/>
  <c r="I29" i="9"/>
  <c r="W33" i="9"/>
  <c r="I35" i="9"/>
  <c r="I37" i="9"/>
  <c r="W19" i="9"/>
  <c r="W29" i="9"/>
  <c r="W35" i="9"/>
  <c r="W37" i="9"/>
  <c r="AJ21" i="9"/>
  <c r="AL21" i="9" s="1"/>
  <c r="AJ25" i="9"/>
  <c r="AL25" i="9" s="1"/>
  <c r="I32" i="9"/>
  <c r="I36" i="9"/>
  <c r="W12" i="9"/>
  <c r="I8" i="9"/>
  <c r="I16" i="9"/>
  <c r="I20" i="9"/>
  <c r="I27" i="9"/>
  <c r="AJ36" i="9"/>
  <c r="AL36" i="9" s="1"/>
  <c r="AJ108" i="9"/>
  <c r="AL108" i="9" s="1"/>
  <c r="W108" i="9"/>
  <c r="AJ9" i="9"/>
  <c r="AL9" i="9" s="1"/>
  <c r="I14" i="9"/>
  <c r="AJ15" i="9"/>
  <c r="AL15" i="9" s="1"/>
  <c r="I22" i="9"/>
  <c r="AJ23" i="9"/>
  <c r="AL23" i="9" s="1"/>
  <c r="I31" i="9"/>
  <c r="I99" i="9"/>
  <c r="I108" i="9"/>
  <c r="AJ112" i="9"/>
  <c r="AL112" i="9" s="1"/>
  <c r="W112" i="9"/>
  <c r="AO122" i="9"/>
  <c r="AJ134" i="9"/>
  <c r="AL134" i="9" s="1"/>
  <c r="I141" i="9"/>
  <c r="AJ148" i="9"/>
  <c r="AL148" i="9" s="1"/>
  <c r="I148" i="9"/>
  <c r="W240" i="9"/>
  <c r="I240" i="9"/>
  <c r="AJ240" i="9"/>
  <c r="AL240" i="9" s="1"/>
  <c r="W26" i="9"/>
  <c r="I26" i="9"/>
  <c r="W14" i="9"/>
  <c r="W22" i="9"/>
  <c r="AJ26" i="9"/>
  <c r="AL26" i="9" s="1"/>
  <c r="W31" i="9"/>
  <c r="W38" i="9"/>
  <c r="I38" i="9"/>
  <c r="AJ78" i="9"/>
  <c r="AL78" i="9" s="1"/>
  <c r="W99" i="9"/>
  <c r="I102" i="9"/>
  <c r="I112" i="9"/>
  <c r="AJ116" i="9"/>
  <c r="AL116" i="9" s="1"/>
  <c r="W116" i="9"/>
  <c r="AJ120" i="9"/>
  <c r="AL120" i="9" s="1"/>
  <c r="W120" i="9"/>
  <c r="W141" i="9"/>
  <c r="I215" i="9"/>
  <c r="AJ215" i="9"/>
  <c r="AL215" i="9" s="1"/>
  <c r="W215" i="9"/>
  <c r="W236" i="9"/>
  <c r="I236" i="9"/>
  <c r="AJ236" i="9"/>
  <c r="AL236" i="9" s="1"/>
  <c r="AJ373" i="9"/>
  <c r="AL373" i="9" s="1"/>
  <c r="I373" i="9"/>
  <c r="W373" i="9"/>
  <c r="W17" i="9"/>
  <c r="I17" i="9"/>
  <c r="AJ175" i="9"/>
  <c r="AL175" i="9" s="1"/>
  <c r="I175" i="9"/>
  <c r="AH40" i="9"/>
  <c r="S10" i="8" s="1"/>
  <c r="U10" i="8" s="1"/>
  <c r="AJ12" i="9"/>
  <c r="AL12" i="9" s="1"/>
  <c r="AJ8" i="9"/>
  <c r="AL8" i="9" s="1"/>
  <c r="AQ510" i="9"/>
  <c r="AJ52" i="9"/>
  <c r="AL52" i="9" s="1"/>
  <c r="AJ54" i="9"/>
  <c r="AL54" i="9" s="1"/>
  <c r="AJ59" i="9"/>
  <c r="AL59" i="9" s="1"/>
  <c r="AJ62" i="9"/>
  <c r="AL62" i="9" s="1"/>
  <c r="AJ67" i="9"/>
  <c r="AL67" i="9" s="1"/>
  <c r="AJ70" i="9"/>
  <c r="AL70" i="9" s="1"/>
  <c r="AJ75" i="9"/>
  <c r="AL75" i="9" s="1"/>
  <c r="AJ109" i="9"/>
  <c r="AL109" i="9" s="1"/>
  <c r="AJ135" i="9"/>
  <c r="AL135" i="9" s="1"/>
  <c r="W135" i="9"/>
  <c r="I135" i="9"/>
  <c r="AJ155" i="9"/>
  <c r="AL155" i="9" s="1"/>
  <c r="I155" i="9"/>
  <c r="AJ204" i="9"/>
  <c r="AL204" i="9" s="1"/>
  <c r="W204" i="9"/>
  <c r="I204" i="9"/>
  <c r="I207" i="9"/>
  <c r="AJ207" i="9"/>
  <c r="AL207" i="9" s="1"/>
  <c r="W207" i="9"/>
  <c r="AH359" i="9"/>
  <c r="S18" i="8" s="1"/>
  <c r="U18" i="8" s="1"/>
  <c r="W13" i="9"/>
  <c r="I13" i="9"/>
  <c r="W21" i="9"/>
  <c r="I21" i="9"/>
  <c r="W30" i="9"/>
  <c r="I30" i="9"/>
  <c r="I59" i="9"/>
  <c r="I62" i="9"/>
  <c r="I67" i="9"/>
  <c r="I70" i="9"/>
  <c r="I75" i="9"/>
  <c r="AM84" i="9"/>
  <c r="AN84" i="9" s="1"/>
  <c r="I109" i="9"/>
  <c r="AJ113" i="9"/>
  <c r="AL113" i="9" s="1"/>
  <c r="AJ159" i="9"/>
  <c r="AL159" i="9" s="1"/>
  <c r="H162" i="9"/>
  <c r="W13" i="8" s="1"/>
  <c r="Y13" i="8" s="1"/>
  <c r="AJ188" i="9"/>
  <c r="AL188" i="9" s="1"/>
  <c r="W188" i="9"/>
  <c r="I188" i="9"/>
  <c r="I191" i="9"/>
  <c r="AJ191" i="9"/>
  <c r="AL191" i="9" s="1"/>
  <c r="W191" i="9"/>
  <c r="W232" i="9"/>
  <c r="I232" i="9"/>
  <c r="AJ232" i="9"/>
  <c r="AL232" i="9" s="1"/>
  <c r="W317" i="9"/>
  <c r="I317" i="9"/>
  <c r="AJ317" i="9"/>
  <c r="AL317" i="9" s="1"/>
  <c r="AJ82" i="9"/>
  <c r="AL82" i="9" s="1"/>
  <c r="AJ98" i="9"/>
  <c r="AL98" i="9" s="1"/>
  <c r="W98" i="9"/>
  <c r="AJ117" i="9"/>
  <c r="AL117" i="9" s="1"/>
  <c r="AJ140" i="9"/>
  <c r="AL140" i="9" s="1"/>
  <c r="W140" i="9"/>
  <c r="I140" i="9"/>
  <c r="I15" i="9"/>
  <c r="I23" i="9"/>
  <c r="I98" i="9"/>
  <c r="AM162" i="9"/>
  <c r="AN162" i="9" s="1"/>
  <c r="I211" i="9"/>
  <c r="AJ211" i="9"/>
  <c r="AL211" i="9" s="1"/>
  <c r="W211" i="9"/>
  <c r="I9" i="9"/>
  <c r="I82" i="9"/>
  <c r="I117" i="9"/>
  <c r="H122" i="9"/>
  <c r="W12" i="8" s="1"/>
  <c r="Y12" i="8" s="1"/>
  <c r="I152" i="9"/>
  <c r="AJ200" i="9"/>
  <c r="AL200" i="9" s="1"/>
  <c r="I200" i="9"/>
  <c r="G520" i="9"/>
  <c r="W34" i="9"/>
  <c r="I34" i="9"/>
  <c r="P510" i="9"/>
  <c r="AB510" i="9"/>
  <c r="AJ55" i="9"/>
  <c r="AL55" i="9" s="1"/>
  <c r="AJ58" i="9"/>
  <c r="AL58" i="9" s="1"/>
  <c r="AJ63" i="9"/>
  <c r="AL63" i="9" s="1"/>
  <c r="AJ66" i="9"/>
  <c r="AL66" i="9" s="1"/>
  <c r="AJ71" i="9"/>
  <c r="AL71" i="9" s="1"/>
  <c r="AJ74" i="9"/>
  <c r="AL74" i="9" s="1"/>
  <c r="I79" i="9"/>
  <c r="AJ96" i="9"/>
  <c r="AL96" i="9" s="1"/>
  <c r="AJ105" i="9"/>
  <c r="AL105" i="9" s="1"/>
  <c r="W105" i="9"/>
  <c r="W117" i="9"/>
  <c r="I136" i="9"/>
  <c r="AJ144" i="9"/>
  <c r="AL144" i="9" s="1"/>
  <c r="W144" i="9"/>
  <c r="I144" i="9"/>
  <c r="I156" i="9"/>
  <c r="AH218" i="9"/>
  <c r="S14" i="8" s="1"/>
  <c r="U14" i="8" s="1"/>
  <c r="AJ176" i="9"/>
  <c r="AL176" i="9" s="1"/>
  <c r="AJ184" i="9"/>
  <c r="AL184" i="9" s="1"/>
  <c r="I184" i="9"/>
  <c r="I195" i="9"/>
  <c r="AJ195" i="9"/>
  <c r="AL195" i="9" s="1"/>
  <c r="W195" i="9"/>
  <c r="W200" i="9"/>
  <c r="U263" i="9"/>
  <c r="U510" i="9" s="1"/>
  <c r="H242" i="9"/>
  <c r="AO300" i="9"/>
  <c r="W321" i="9"/>
  <c r="I321" i="9"/>
  <c r="AJ381" i="9"/>
  <c r="AL381" i="9" s="1"/>
  <c r="I381" i="9"/>
  <c r="AO218" i="9"/>
  <c r="G526" i="9"/>
  <c r="I275" i="9"/>
  <c r="AJ289" i="9"/>
  <c r="AL289" i="9" s="1"/>
  <c r="AM300" i="9"/>
  <c r="AN300" i="9" s="1"/>
  <c r="W319" i="9"/>
  <c r="AJ326" i="9"/>
  <c r="AL326" i="9" s="1"/>
  <c r="I326" i="9"/>
  <c r="AJ377" i="9"/>
  <c r="AL377" i="9" s="1"/>
  <c r="I377" i="9"/>
  <c r="W381" i="9"/>
  <c r="W213" i="9"/>
  <c r="I213" i="9"/>
  <c r="W313" i="9"/>
  <c r="I313" i="9"/>
  <c r="AJ319" i="9"/>
  <c r="AL319" i="9" s="1"/>
  <c r="AJ322" i="9"/>
  <c r="AL322" i="9" s="1"/>
  <c r="I322" i="9"/>
  <c r="G524" i="9"/>
  <c r="H218" i="9"/>
  <c r="W14" i="8" s="1"/>
  <c r="Y14" i="8" s="1"/>
  <c r="I178" i="9"/>
  <c r="W181" i="9"/>
  <c r="AJ186" i="9"/>
  <c r="AL186" i="9" s="1"/>
  <c r="W190" i="9"/>
  <c r="AJ193" i="9"/>
  <c r="AL193" i="9" s="1"/>
  <c r="W197" i="9"/>
  <c r="AJ202" i="9"/>
  <c r="AL202" i="9" s="1"/>
  <c r="W206" i="9"/>
  <c r="AJ209" i="9"/>
  <c r="AL209" i="9" s="1"/>
  <c r="AM218" i="9"/>
  <c r="AN218" i="9" s="1"/>
  <c r="AJ230" i="9"/>
  <c r="AL230" i="9" s="1"/>
  <c r="AJ234" i="9"/>
  <c r="AL234" i="9" s="1"/>
  <c r="AM263" i="9"/>
  <c r="AN263" i="9" s="1"/>
  <c r="W322" i="9"/>
  <c r="AM359" i="9"/>
  <c r="AN359" i="9" s="1"/>
  <c r="J510" i="9"/>
  <c r="J513" i="9" s="1"/>
  <c r="R510" i="9"/>
  <c r="I97" i="9"/>
  <c r="I101" i="9"/>
  <c r="I104" i="9"/>
  <c r="I107" i="9"/>
  <c r="I111" i="9"/>
  <c r="I115" i="9"/>
  <c r="I119" i="9"/>
  <c r="W522" i="9" s="1"/>
  <c r="G523" i="9"/>
  <c r="I174" i="9"/>
  <c r="W178" i="9"/>
  <c r="W183" i="9"/>
  <c r="I192" i="9"/>
  <c r="W199" i="9"/>
  <c r="I208" i="9"/>
  <c r="AJ213" i="9"/>
  <c r="AL213" i="9" s="1"/>
  <c r="AJ233" i="9"/>
  <c r="AL233" i="9" s="1"/>
  <c r="I233" i="9"/>
  <c r="AJ237" i="9"/>
  <c r="AL237" i="9" s="1"/>
  <c r="I237" i="9"/>
  <c r="AJ241" i="9"/>
  <c r="AL241" i="9" s="1"/>
  <c r="I241" i="9"/>
  <c r="AJ276" i="9"/>
  <c r="AL276" i="9" s="1"/>
  <c r="AJ279" i="9"/>
  <c r="AL279" i="9" s="1"/>
  <c r="AJ281" i="9"/>
  <c r="AL281" i="9" s="1"/>
  <c r="AJ297" i="9"/>
  <c r="AL297" i="9" s="1"/>
  <c r="AJ313" i="9"/>
  <c r="AL313" i="9" s="1"/>
  <c r="AJ318" i="9"/>
  <c r="AL318" i="9" s="1"/>
  <c r="I318" i="9"/>
  <c r="AH406" i="9"/>
  <c r="S19" i="8" s="1"/>
  <c r="U19" i="8" s="1"/>
  <c r="W378" i="9"/>
  <c r="W380" i="9"/>
  <c r="I380" i="9"/>
  <c r="K510" i="9"/>
  <c r="S510" i="9"/>
  <c r="G522" i="9"/>
  <c r="W174" i="9"/>
  <c r="I177" i="9"/>
  <c r="AJ181" i="9"/>
  <c r="AL181" i="9" s="1"/>
  <c r="W185" i="9"/>
  <c r="AJ190" i="9"/>
  <c r="AL190" i="9" s="1"/>
  <c r="W194" i="9"/>
  <c r="AJ197" i="9"/>
  <c r="AL197" i="9" s="1"/>
  <c r="W201" i="9"/>
  <c r="AJ206" i="9"/>
  <c r="AL206" i="9" s="1"/>
  <c r="W210" i="9"/>
  <c r="AJ214" i="9"/>
  <c r="AL214" i="9" s="1"/>
  <c r="I214" i="9"/>
  <c r="AJ254" i="9"/>
  <c r="AL254" i="9" s="1"/>
  <c r="AJ256" i="9"/>
  <c r="AL256" i="9" s="1"/>
  <c r="I301" i="9"/>
  <c r="AJ314" i="9"/>
  <c r="AL314" i="9" s="1"/>
  <c r="I314" i="9"/>
  <c r="W318" i="9"/>
  <c r="W325" i="9"/>
  <c r="I325" i="9"/>
  <c r="AM328" i="9"/>
  <c r="AN328" i="9" s="1"/>
  <c r="AJ350" i="9"/>
  <c r="AL350" i="9" s="1"/>
  <c r="AJ352" i="9"/>
  <c r="AL352" i="9" s="1"/>
  <c r="W374" i="9"/>
  <c r="W376" i="9"/>
  <c r="I376" i="9"/>
  <c r="AO406" i="9"/>
  <c r="G521" i="9"/>
  <c r="AJ183" i="9"/>
  <c r="AL183" i="9" s="1"/>
  <c r="AJ199" i="9"/>
  <c r="AL199" i="9" s="1"/>
  <c r="AJ283" i="9"/>
  <c r="AL283" i="9" s="1"/>
  <c r="AJ285" i="9"/>
  <c r="AL285" i="9" s="1"/>
  <c r="W372" i="9"/>
  <c r="I372" i="9"/>
  <c r="AJ378" i="9"/>
  <c r="AL378" i="9" s="1"/>
  <c r="AJ403" i="9"/>
  <c r="AL403" i="9" s="1"/>
  <c r="AJ243" i="9"/>
  <c r="AL243" i="9" s="1"/>
  <c r="AJ247" i="9"/>
  <c r="AL247" i="9" s="1"/>
  <c r="AJ251" i="9"/>
  <c r="AL251" i="9" s="1"/>
  <c r="AJ255" i="9"/>
  <c r="AL255" i="9" s="1"/>
  <c r="AJ259" i="9"/>
  <c r="AL259" i="9" s="1"/>
  <c r="AJ280" i="9"/>
  <c r="AL280" i="9" s="1"/>
  <c r="AJ284" i="9"/>
  <c r="AL284" i="9" s="1"/>
  <c r="AJ288" i="9"/>
  <c r="AL288" i="9" s="1"/>
  <c r="AJ292" i="9"/>
  <c r="AL292" i="9" s="1"/>
  <c r="AJ296" i="9"/>
  <c r="AL296" i="9" s="1"/>
  <c r="AJ343" i="9"/>
  <c r="AL343" i="9" s="1"/>
  <c r="AJ347" i="9"/>
  <c r="AL347" i="9" s="1"/>
  <c r="AJ351" i="9"/>
  <c r="AL351" i="9" s="1"/>
  <c r="AJ355" i="9"/>
  <c r="AL355" i="9" s="1"/>
  <c r="G528" i="9"/>
  <c r="AJ443" i="9"/>
  <c r="AL443" i="9" s="1"/>
  <c r="G527" i="9"/>
  <c r="G529" i="9"/>
  <c r="AJ389" i="9"/>
  <c r="AL389" i="9" s="1"/>
  <c r="AJ397" i="9"/>
  <c r="AL397" i="9" s="1"/>
  <c r="H406" i="9"/>
  <c r="W19" i="8" s="1"/>
  <c r="Y19" i="8" s="1"/>
  <c r="AJ435" i="9"/>
  <c r="AL435" i="9" s="1"/>
  <c r="H328" i="9"/>
  <c r="W17" i="8" s="1"/>
  <c r="Y17" i="8" s="1"/>
  <c r="AJ340" i="9"/>
  <c r="AL340" i="9" s="1"/>
  <c r="AH467" i="9"/>
  <c r="S20" i="8" s="1"/>
  <c r="U20" i="8" s="1"/>
  <c r="AJ427" i="9"/>
  <c r="AL427" i="9" s="1"/>
  <c r="W403" i="9"/>
  <c r="W418" i="9"/>
  <c r="W446" i="9"/>
  <c r="W450" i="9"/>
  <c r="W454" i="9"/>
  <c r="W458" i="9"/>
  <c r="W462" i="9"/>
  <c r="W479" i="9"/>
  <c r="AH507" i="9"/>
  <c r="AJ418" i="9"/>
  <c r="AL418" i="9" s="1"/>
  <c r="H467" i="9"/>
  <c r="W20" i="8" s="1"/>
  <c r="I456" i="9"/>
  <c r="I460" i="9"/>
  <c r="I464" i="9"/>
  <c r="I481" i="9"/>
  <c r="I484" i="9"/>
  <c r="I488" i="9"/>
  <c r="I492" i="9"/>
  <c r="I496" i="9"/>
  <c r="I500" i="9"/>
  <c r="I504" i="9"/>
  <c r="W401" i="9"/>
  <c r="W420" i="9"/>
  <c r="W424" i="9"/>
  <c r="W428" i="9"/>
  <c r="W432" i="9"/>
  <c r="W436" i="9"/>
  <c r="W440" i="9"/>
  <c r="W444" i="9"/>
  <c r="W448" i="9"/>
  <c r="W460" i="9"/>
  <c r="W464" i="9"/>
  <c r="W481" i="9"/>
  <c r="W484" i="9"/>
  <c r="W488" i="9"/>
  <c r="W492" i="9"/>
  <c r="W496" i="9"/>
  <c r="W500" i="9"/>
  <c r="W504" i="9"/>
  <c r="AE23" i="8"/>
  <c r="AE60" i="8"/>
  <c r="AG11" i="8"/>
  <c r="AH11" i="8"/>
  <c r="AI11" i="8"/>
  <c r="AJ11" i="8"/>
  <c r="AK11" i="8"/>
  <c r="AL11" i="8"/>
  <c r="AN11" i="8"/>
  <c r="AG12" i="8"/>
  <c r="AH12" i="8"/>
  <c r="AI12" i="8"/>
  <c r="AK12" i="8"/>
  <c r="AL12" i="8"/>
  <c r="AN12" i="8"/>
  <c r="AG13" i="8"/>
  <c r="AH13" i="8"/>
  <c r="AI13" i="8"/>
  <c r="AJ13" i="8"/>
  <c r="AK13" i="8"/>
  <c r="AL13" i="8"/>
  <c r="AN13" i="8"/>
  <c r="AG14" i="8"/>
  <c r="AH14" i="8"/>
  <c r="AI14" i="8"/>
  <c r="AJ14" i="8"/>
  <c r="AK14" i="8"/>
  <c r="AL14" i="8"/>
  <c r="AN14" i="8"/>
  <c r="AG15" i="8"/>
  <c r="AH15" i="8"/>
  <c r="AI15" i="8"/>
  <c r="AJ15" i="8"/>
  <c r="AK15" i="8"/>
  <c r="AL15" i="8"/>
  <c r="AN15" i="8"/>
  <c r="AG16" i="8"/>
  <c r="AH16" i="8"/>
  <c r="AI16" i="8"/>
  <c r="AJ16" i="8"/>
  <c r="AK16" i="8"/>
  <c r="AL16" i="8"/>
  <c r="AN16" i="8"/>
  <c r="AG17" i="8"/>
  <c r="AH17" i="8"/>
  <c r="AI17" i="8"/>
  <c r="AJ17" i="8"/>
  <c r="AK17" i="8"/>
  <c r="AL17" i="8"/>
  <c r="AN17" i="8"/>
  <c r="AG18" i="8"/>
  <c r="AH18" i="8"/>
  <c r="AI18" i="8"/>
  <c r="AJ18" i="8"/>
  <c r="AK18" i="8"/>
  <c r="AL18" i="8"/>
  <c r="AG19" i="8"/>
  <c r="AH19" i="8"/>
  <c r="AI19" i="8"/>
  <c r="AJ19" i="8"/>
  <c r="AK19" i="8"/>
  <c r="AL19" i="8"/>
  <c r="AN19" i="8"/>
  <c r="AG20" i="8"/>
  <c r="AH20" i="8"/>
  <c r="AI20" i="8"/>
  <c r="AJ20" i="8"/>
  <c r="AK20" i="8"/>
  <c r="AL20" i="8"/>
  <c r="AN20" i="8"/>
  <c r="AG21" i="8"/>
  <c r="AH21" i="8"/>
  <c r="AI21" i="8"/>
  <c r="AJ21" i="8"/>
  <c r="AK21" i="8"/>
  <c r="AN21" i="8"/>
  <c r="AK10" i="8"/>
  <c r="AJ10" i="8"/>
  <c r="AI10" i="8"/>
  <c r="AH10" i="8"/>
  <c r="AG10" i="8"/>
  <c r="W530" i="9" l="1"/>
  <c r="F35" i="4"/>
  <c r="E37" i="4"/>
  <c r="F37" i="4"/>
  <c r="U88" i="9"/>
  <c r="U410" i="9"/>
  <c r="K35" i="4"/>
  <c r="J35" i="4"/>
  <c r="R88" i="9"/>
  <c r="R126" i="9"/>
  <c r="R222" i="9"/>
  <c r="R410" i="9"/>
  <c r="R267" i="9"/>
  <c r="R166" i="9"/>
  <c r="R304" i="9"/>
  <c r="R332" i="9"/>
  <c r="R363" i="9"/>
  <c r="S531" i="9"/>
  <c r="T531" i="9"/>
  <c r="I531" i="9"/>
  <c r="H531" i="9"/>
  <c r="J31" i="4"/>
  <c r="K31" i="4"/>
  <c r="J36" i="4"/>
  <c r="K36" i="4"/>
  <c r="K32" i="4"/>
  <c r="J32" i="4"/>
  <c r="S363" i="9"/>
  <c r="S267" i="9"/>
  <c r="S332" i="9"/>
  <c r="S410" i="9"/>
  <c r="S88" i="9"/>
  <c r="S126" i="9"/>
  <c r="S222" i="9"/>
  <c r="S304" i="9"/>
  <c r="S166" i="9"/>
  <c r="T363" i="9"/>
  <c r="T332" i="9"/>
  <c r="T267" i="9"/>
  <c r="T222" i="9"/>
  <c r="T166" i="9"/>
  <c r="T126" i="9"/>
  <c r="T304" i="9"/>
  <c r="T88" i="9"/>
  <c r="T410" i="9"/>
  <c r="K33" i="4"/>
  <c r="J33" i="4"/>
  <c r="J37" i="4"/>
  <c r="K37" i="4"/>
  <c r="K34" i="4"/>
  <c r="J34" i="4"/>
  <c r="F32" i="4"/>
  <c r="E32" i="4"/>
  <c r="H263" i="9"/>
  <c r="W15" i="8" s="1"/>
  <c r="Y15" i="8" s="1"/>
  <c r="D85" i="4"/>
  <c r="F36" i="4"/>
  <c r="E36" i="4"/>
  <c r="E35" i="4"/>
  <c r="E34" i="4"/>
  <c r="F34" i="4"/>
  <c r="F33" i="4"/>
  <c r="E33" i="4"/>
  <c r="F31" i="4"/>
  <c r="E31" i="4"/>
  <c r="U44" i="9"/>
  <c r="U471" i="9"/>
  <c r="T44" i="9"/>
  <c r="T471" i="9"/>
  <c r="R44" i="9"/>
  <c r="R471" i="9"/>
  <c r="Q44" i="9"/>
  <c r="Q222" i="9"/>
  <c r="Q166" i="9"/>
  <c r="Q267" i="9"/>
  <c r="Q126" i="9"/>
  <c r="Q88" i="9"/>
  <c r="Q363" i="9"/>
  <c r="Q410" i="9"/>
  <c r="Q304" i="9"/>
  <c r="Q332" i="9"/>
  <c r="Q471" i="9"/>
  <c r="S44" i="9"/>
  <c r="S471" i="9"/>
  <c r="N5" i="10"/>
  <c r="M37" i="10"/>
  <c r="N12" i="10"/>
  <c r="M44" i="10"/>
  <c r="N9" i="10"/>
  <c r="M41" i="10"/>
  <c r="M38" i="10"/>
  <c r="N6" i="10"/>
  <c r="N8" i="10"/>
  <c r="M40" i="10"/>
  <c r="N13" i="10"/>
  <c r="M45" i="10"/>
  <c r="N11" i="10"/>
  <c r="M43" i="10"/>
  <c r="K513" i="9"/>
  <c r="L513" i="9" s="1"/>
  <c r="M513" i="9" s="1"/>
  <c r="N513" i="9" s="1"/>
  <c r="O513" i="9" s="1"/>
  <c r="P513" i="9" s="1"/>
  <c r="Q513" i="9" s="1"/>
  <c r="R513" i="9" s="1"/>
  <c r="S513" i="9" s="1"/>
  <c r="T513" i="9" s="1"/>
  <c r="U513" i="9" s="1"/>
  <c r="M35" i="10"/>
  <c r="N3" i="10"/>
  <c r="N10" i="10"/>
  <c r="M42" i="10"/>
  <c r="L15" i="10"/>
  <c r="M2" i="10"/>
  <c r="L34" i="10"/>
  <c r="L47" i="10" s="1"/>
  <c r="N7" i="10"/>
  <c r="M39" i="10"/>
  <c r="N4" i="10"/>
  <c r="M36" i="10"/>
  <c r="L363" i="9"/>
  <c r="L222" i="9"/>
  <c r="L332" i="9"/>
  <c r="L166" i="9"/>
  <c r="L88" i="9"/>
  <c r="L471" i="9"/>
  <c r="L304" i="9"/>
  <c r="L126" i="9"/>
  <c r="L267" i="9"/>
  <c r="L44" i="9"/>
  <c r="L410" i="9"/>
  <c r="J470" i="9"/>
  <c r="J303" i="9"/>
  <c r="J125" i="9"/>
  <c r="J43" i="9"/>
  <c r="J409" i="9"/>
  <c r="J266" i="9"/>
  <c r="J87" i="9"/>
  <c r="J331" i="9"/>
  <c r="J165" i="9"/>
  <c r="J362" i="9"/>
  <c r="J221" i="9"/>
  <c r="Q470" i="9"/>
  <c r="Q303" i="9"/>
  <c r="Q125" i="9"/>
  <c r="Q43" i="9"/>
  <c r="Q409" i="9"/>
  <c r="Q266" i="9"/>
  <c r="Q87" i="9"/>
  <c r="Q362" i="9"/>
  <c r="Q221" i="9"/>
  <c r="Q331" i="9"/>
  <c r="Q165" i="9"/>
  <c r="O471" i="9"/>
  <c r="O304" i="9"/>
  <c r="O126" i="9"/>
  <c r="O44" i="9"/>
  <c r="O410" i="9"/>
  <c r="O267" i="9"/>
  <c r="O88" i="9"/>
  <c r="O363" i="9"/>
  <c r="O222" i="9"/>
  <c r="O332" i="9"/>
  <c r="O166" i="9"/>
  <c r="G471" i="9"/>
  <c r="G304" i="9"/>
  <c r="G126" i="9"/>
  <c r="G44" i="9"/>
  <c r="G410" i="9"/>
  <c r="G267" i="9"/>
  <c r="G88" i="9"/>
  <c r="G363" i="9"/>
  <c r="G222" i="9"/>
  <c r="G332" i="9"/>
  <c r="G166" i="9"/>
  <c r="K43" i="9"/>
  <c r="K409" i="9"/>
  <c r="K266" i="9"/>
  <c r="K87" i="9"/>
  <c r="K362" i="9"/>
  <c r="K221" i="9"/>
  <c r="K331" i="9"/>
  <c r="K165" i="9"/>
  <c r="K470" i="9"/>
  <c r="K303" i="9"/>
  <c r="K125" i="9"/>
  <c r="G331" i="9"/>
  <c r="G165" i="9"/>
  <c r="G470" i="9"/>
  <c r="G303" i="9"/>
  <c r="G125" i="9"/>
  <c r="G43" i="9"/>
  <c r="G409" i="9"/>
  <c r="G266" i="9"/>
  <c r="G87" i="9"/>
  <c r="G362" i="9"/>
  <c r="G221" i="9"/>
  <c r="O331" i="9"/>
  <c r="O165" i="9"/>
  <c r="O470" i="9"/>
  <c r="O303" i="9"/>
  <c r="O125" i="9"/>
  <c r="O43" i="9"/>
  <c r="O409" i="9"/>
  <c r="O266" i="9"/>
  <c r="O87" i="9"/>
  <c r="O362" i="9"/>
  <c r="O221" i="9"/>
  <c r="P331" i="9"/>
  <c r="P165" i="9"/>
  <c r="P470" i="9"/>
  <c r="P303" i="9"/>
  <c r="P125" i="9"/>
  <c r="P43" i="9"/>
  <c r="P409" i="9"/>
  <c r="P266" i="9"/>
  <c r="P87" i="9"/>
  <c r="P362" i="9"/>
  <c r="P221" i="9"/>
  <c r="R470" i="9"/>
  <c r="R303" i="9"/>
  <c r="R125" i="9"/>
  <c r="R43" i="9"/>
  <c r="R165" i="9"/>
  <c r="R409" i="9"/>
  <c r="R266" i="9"/>
  <c r="R87" i="9"/>
  <c r="R362" i="9"/>
  <c r="R221" i="9"/>
  <c r="R331" i="9"/>
  <c r="U362" i="9"/>
  <c r="U221" i="9"/>
  <c r="U331" i="9"/>
  <c r="U165" i="9"/>
  <c r="U43" i="9"/>
  <c r="U470" i="9"/>
  <c r="U303" i="9"/>
  <c r="U125" i="9"/>
  <c r="U409" i="9"/>
  <c r="U266" i="9"/>
  <c r="U87" i="9"/>
  <c r="N362" i="9"/>
  <c r="N221" i="9"/>
  <c r="N409" i="9"/>
  <c r="N331" i="9"/>
  <c r="N165" i="9"/>
  <c r="N87" i="9"/>
  <c r="N470" i="9"/>
  <c r="N303" i="9"/>
  <c r="N125" i="9"/>
  <c r="N43" i="9"/>
  <c r="N266" i="9"/>
  <c r="M362" i="9"/>
  <c r="M221" i="9"/>
  <c r="M331" i="9"/>
  <c r="M165" i="9"/>
  <c r="M470" i="9"/>
  <c r="M303" i="9"/>
  <c r="M125" i="9"/>
  <c r="M43" i="9"/>
  <c r="M409" i="9"/>
  <c r="M266" i="9"/>
  <c r="M87" i="9"/>
  <c r="T409" i="9"/>
  <c r="T266" i="9"/>
  <c r="T87" i="9"/>
  <c r="T303" i="9"/>
  <c r="T362" i="9"/>
  <c r="T221" i="9"/>
  <c r="T125" i="9"/>
  <c r="T331" i="9"/>
  <c r="T165" i="9"/>
  <c r="T470" i="9"/>
  <c r="T43" i="9"/>
  <c r="M332" i="9"/>
  <c r="M166" i="9"/>
  <c r="M471" i="9"/>
  <c r="M304" i="9"/>
  <c r="M126" i="9"/>
  <c r="M44" i="9"/>
  <c r="M410" i="9"/>
  <c r="M267" i="9"/>
  <c r="M88" i="9"/>
  <c r="M363" i="9"/>
  <c r="M222" i="9"/>
  <c r="N332" i="9"/>
  <c r="N166" i="9"/>
  <c r="N363" i="9"/>
  <c r="N471" i="9"/>
  <c r="N304" i="9"/>
  <c r="N126" i="9"/>
  <c r="N222" i="9"/>
  <c r="N44" i="9"/>
  <c r="N410" i="9"/>
  <c r="N267" i="9"/>
  <c r="N88" i="9"/>
  <c r="S43" i="9"/>
  <c r="S409" i="9"/>
  <c r="S266" i="9"/>
  <c r="S87" i="9"/>
  <c r="S362" i="9"/>
  <c r="S221" i="9"/>
  <c r="S331" i="9"/>
  <c r="S165" i="9"/>
  <c r="S470" i="9"/>
  <c r="S303" i="9"/>
  <c r="S125" i="9"/>
  <c r="L409" i="9"/>
  <c r="L266" i="9"/>
  <c r="L87" i="9"/>
  <c r="L362" i="9"/>
  <c r="L221" i="9"/>
  <c r="L303" i="9"/>
  <c r="L331" i="9"/>
  <c r="L165" i="9"/>
  <c r="L125" i="9"/>
  <c r="L470" i="9"/>
  <c r="L43" i="9"/>
  <c r="J410" i="9"/>
  <c r="J267" i="9"/>
  <c r="J88" i="9"/>
  <c r="J126" i="9"/>
  <c r="J363" i="9"/>
  <c r="J222" i="9"/>
  <c r="J332" i="9"/>
  <c r="J166" i="9"/>
  <c r="J471" i="9"/>
  <c r="J44" i="9"/>
  <c r="J304" i="9"/>
  <c r="P471" i="9"/>
  <c r="P304" i="9"/>
  <c r="P126" i="9"/>
  <c r="P44" i="9"/>
  <c r="P410" i="9"/>
  <c r="P267" i="9"/>
  <c r="P88" i="9"/>
  <c r="P363" i="9"/>
  <c r="P222" i="9"/>
  <c r="P332" i="9"/>
  <c r="P166" i="9"/>
  <c r="Y20" i="8"/>
  <c r="AH510" i="9"/>
  <c r="I359" i="9"/>
  <c r="AJ507" i="9"/>
  <c r="S21" i="8"/>
  <c r="U21" i="8" s="1"/>
  <c r="I507" i="9"/>
  <c r="AJ300" i="9"/>
  <c r="W16" i="8"/>
  <c r="AJ84" i="9"/>
  <c r="W11" i="8"/>
  <c r="Y11" i="8" s="1"/>
  <c r="Y10" i="8"/>
  <c r="AJ359" i="9"/>
  <c r="H528" i="9"/>
  <c r="H522" i="9"/>
  <c r="S530" i="9"/>
  <c r="I529" i="9"/>
  <c r="S529" i="9"/>
  <c r="W406" i="9"/>
  <c r="AT406" i="9" s="1"/>
  <c r="W359" i="9"/>
  <c r="I528" i="9"/>
  <c r="S528" i="9"/>
  <c r="T528" i="9"/>
  <c r="I527" i="9"/>
  <c r="W328" i="9"/>
  <c r="T527" i="9"/>
  <c r="S527" i="9"/>
  <c r="I300" i="9"/>
  <c r="W300" i="9"/>
  <c r="W162" i="9"/>
  <c r="W122" i="9"/>
  <c r="I522" i="9"/>
  <c r="I521" i="9"/>
  <c r="S521" i="9"/>
  <c r="H521" i="9"/>
  <c r="W40" i="9"/>
  <c r="T520" i="9"/>
  <c r="AJ467" i="9"/>
  <c r="I467" i="9"/>
  <c r="H523" i="9"/>
  <c r="W467" i="9"/>
  <c r="S522" i="9"/>
  <c r="H527" i="9"/>
  <c r="T523" i="9"/>
  <c r="T530" i="9"/>
  <c r="H520" i="9"/>
  <c r="W84" i="9"/>
  <c r="S523" i="9"/>
  <c r="W507" i="9"/>
  <c r="T529" i="9"/>
  <c r="AJ406" i="9"/>
  <c r="I406" i="9"/>
  <c r="I218" i="9"/>
  <c r="AJ218" i="9"/>
  <c r="I520" i="9"/>
  <c r="T526" i="9"/>
  <c r="S526" i="9"/>
  <c r="I526" i="9"/>
  <c r="H526" i="9"/>
  <c r="AJ40" i="9"/>
  <c r="I40" i="9"/>
  <c r="H530" i="9"/>
  <c r="H529" i="9"/>
  <c r="T522" i="9"/>
  <c r="G525" i="9"/>
  <c r="G533" i="9" s="1"/>
  <c r="I530" i="9"/>
  <c r="W218" i="9"/>
  <c r="T521" i="9"/>
  <c r="T524" i="9"/>
  <c r="S524" i="9"/>
  <c r="I524" i="9"/>
  <c r="H524" i="9"/>
  <c r="I242" i="9"/>
  <c r="AJ242" i="9"/>
  <c r="AL242" i="9" s="1"/>
  <c r="AL516" i="9" s="1"/>
  <c r="W242" i="9"/>
  <c r="W263" i="9" s="1"/>
  <c r="AT263" i="9" s="1"/>
  <c r="AJ328" i="9"/>
  <c r="I328" i="9"/>
  <c r="I523" i="9"/>
  <c r="AJ122" i="9"/>
  <c r="I122" i="9"/>
  <c r="AJ162" i="9"/>
  <c r="I162" i="9"/>
  <c r="U234" i="1"/>
  <c r="H510" i="9" l="1"/>
  <c r="H221" i="9" s="1"/>
  <c r="J531" i="9"/>
  <c r="K531" i="9" s="1"/>
  <c r="I263" i="9"/>
  <c r="AJ263" i="9"/>
  <c r="AL514" i="9"/>
  <c r="AL515" i="9"/>
  <c r="O7" i="10"/>
  <c r="N39" i="10"/>
  <c r="O6" i="10"/>
  <c r="N38" i="10"/>
  <c r="N2" i="10"/>
  <c r="M15" i="10"/>
  <c r="M34" i="10"/>
  <c r="M47" i="10" s="1"/>
  <c r="O11" i="10"/>
  <c r="N43" i="10"/>
  <c r="O9" i="10"/>
  <c r="N41" i="10"/>
  <c r="O13" i="10"/>
  <c r="N45" i="10"/>
  <c r="O12" i="10"/>
  <c r="N44" i="10"/>
  <c r="O4" i="10"/>
  <c r="N36" i="10"/>
  <c r="O10" i="10"/>
  <c r="N42" i="10"/>
  <c r="N35" i="10"/>
  <c r="O3" i="10"/>
  <c r="O8" i="10"/>
  <c r="N40" i="10"/>
  <c r="O5" i="10"/>
  <c r="N37" i="10"/>
  <c r="AH470" i="9"/>
  <c r="AH303" i="9"/>
  <c r="AH125" i="9"/>
  <c r="AH43" i="9"/>
  <c r="AH409" i="9"/>
  <c r="AH266" i="9"/>
  <c r="AH87" i="9"/>
  <c r="AH362" i="9"/>
  <c r="AH221" i="9"/>
  <c r="AH331" i="9"/>
  <c r="AH165" i="9"/>
  <c r="J521" i="9"/>
  <c r="K521" i="9" s="1"/>
  <c r="J528" i="9"/>
  <c r="K528" i="9" s="1"/>
  <c r="H525" i="9"/>
  <c r="H533" i="9" s="1"/>
  <c r="W28" i="8"/>
  <c r="Y28" i="8" s="1"/>
  <c r="W23" i="8"/>
  <c r="Y23" i="8" s="1"/>
  <c r="Y16" i="8"/>
  <c r="W29" i="8"/>
  <c r="Y29" i="8" s="1"/>
  <c r="J522" i="9"/>
  <c r="K522" i="9" s="1"/>
  <c r="L522" i="9" s="1"/>
  <c r="M522" i="9" s="1"/>
  <c r="S525" i="9"/>
  <c r="S533" i="9" s="1"/>
  <c r="T525" i="9"/>
  <c r="T533" i="9" s="1"/>
  <c r="I525" i="9"/>
  <c r="I533" i="9" s="1"/>
  <c r="W533" i="9"/>
  <c r="J520" i="9"/>
  <c r="K520" i="9" s="1"/>
  <c r="J524" i="9"/>
  <c r="J530" i="9"/>
  <c r="J527" i="9"/>
  <c r="W510" i="9"/>
  <c r="J529" i="9"/>
  <c r="J523" i="9"/>
  <c r="J526" i="9"/>
  <c r="AA266" i="1"/>
  <c r="H165" i="9" l="1"/>
  <c r="H513" i="9"/>
  <c r="J515" i="9" s="1"/>
  <c r="H362" i="9"/>
  <c r="H331" i="9"/>
  <c r="H43" i="9"/>
  <c r="I510" i="9"/>
  <c r="I470" i="9" s="1"/>
  <c r="H87" i="9"/>
  <c r="AJ510" i="9"/>
  <c r="AJ409" i="9" s="1"/>
  <c r="H266" i="9"/>
  <c r="H409" i="9"/>
  <c r="H125" i="9"/>
  <c r="H303" i="9"/>
  <c r="H470" i="9"/>
  <c r="L531" i="9"/>
  <c r="AL519" i="9"/>
  <c r="O40" i="10"/>
  <c r="P8" i="10"/>
  <c r="P12" i="10"/>
  <c r="O44" i="10"/>
  <c r="P4" i="10"/>
  <c r="O36" i="10"/>
  <c r="O35" i="10"/>
  <c r="P3" i="10"/>
  <c r="N34" i="10"/>
  <c r="N47" i="10" s="1"/>
  <c r="O2" i="10"/>
  <c r="N15" i="10"/>
  <c r="P13" i="10"/>
  <c r="O45" i="10"/>
  <c r="P6" i="10"/>
  <c r="O38" i="10"/>
  <c r="O37" i="10"/>
  <c r="P5" i="10"/>
  <c r="P11" i="10"/>
  <c r="O43" i="10"/>
  <c r="P10" i="10"/>
  <c r="O42" i="10"/>
  <c r="P9" i="10"/>
  <c r="O41" i="10"/>
  <c r="P7" i="10"/>
  <c r="O39" i="10"/>
  <c r="L528" i="9"/>
  <c r="M528" i="9" s="1"/>
  <c r="W31" i="8"/>
  <c r="Y31" i="8" s="1"/>
  <c r="J525" i="9"/>
  <c r="K525" i="9" s="1"/>
  <c r="N522" i="9"/>
  <c r="K527" i="9"/>
  <c r="K523" i="9"/>
  <c r="K526" i="9"/>
  <c r="K524" i="9"/>
  <c r="L524" i="9" s="1"/>
  <c r="L520" i="9"/>
  <c r="M520" i="9" s="1"/>
  <c r="K530" i="9"/>
  <c r="K529" i="9"/>
  <c r="L529" i="9" s="1"/>
  <c r="L521" i="9"/>
  <c r="M521" i="9" s="1"/>
  <c r="AA169" i="1"/>
  <c r="AJ43" i="9" l="1"/>
  <c r="I362" i="9"/>
  <c r="AJ331" i="9"/>
  <c r="AJ165" i="9"/>
  <c r="I266" i="9"/>
  <c r="AJ303" i="9"/>
  <c r="AJ470" i="9"/>
  <c r="I43" i="9"/>
  <c r="I87" i="9"/>
  <c r="AJ125" i="9"/>
  <c r="AJ221" i="9"/>
  <c r="AJ87" i="9"/>
  <c r="I165" i="9"/>
  <c r="I125" i="9"/>
  <c r="I331" i="9"/>
  <c r="I409" i="9"/>
  <c r="AJ362" i="9"/>
  <c r="AJ266" i="9"/>
  <c r="I303" i="9"/>
  <c r="I221" i="9"/>
  <c r="M531" i="9"/>
  <c r="N531" i="9" s="1"/>
  <c r="Q9" i="10"/>
  <c r="P41" i="10"/>
  <c r="Q6" i="10"/>
  <c r="P38" i="10"/>
  <c r="P36" i="10"/>
  <c r="Q4" i="10"/>
  <c r="Q7" i="10"/>
  <c r="P39" i="10"/>
  <c r="P35" i="10"/>
  <c r="Q3" i="10"/>
  <c r="Q10" i="10"/>
  <c r="P42" i="10"/>
  <c r="Q13" i="10"/>
  <c r="P45" i="10"/>
  <c r="Q12" i="10"/>
  <c r="P44" i="10"/>
  <c r="Q11" i="10"/>
  <c r="P43" i="10"/>
  <c r="O34" i="10"/>
  <c r="O47" i="10" s="1"/>
  <c r="P2" i="10"/>
  <c r="O15" i="10"/>
  <c r="P40" i="10"/>
  <c r="Q8" i="10"/>
  <c r="Q5" i="10"/>
  <c r="P37" i="10"/>
  <c r="J533" i="9"/>
  <c r="K533" i="9"/>
  <c r="M524" i="9"/>
  <c r="N524" i="9" s="1"/>
  <c r="O524" i="9" s="1"/>
  <c r="N521" i="9"/>
  <c r="O521" i="9" s="1"/>
  <c r="P521" i="9" s="1"/>
  <c r="N528" i="9"/>
  <c r="M529" i="9"/>
  <c r="N529" i="9" s="1"/>
  <c r="L526" i="9"/>
  <c r="M526" i="9" s="1"/>
  <c r="L525" i="9"/>
  <c r="O522" i="9"/>
  <c r="P522" i="9" s="1"/>
  <c r="N520" i="9"/>
  <c r="L530" i="9"/>
  <c r="M530" i="9" s="1"/>
  <c r="L527" i="9"/>
  <c r="L523" i="9"/>
  <c r="M523" i="9" s="1"/>
  <c r="N523" i="9" s="1"/>
  <c r="T533" i="1"/>
  <c r="O531" i="9" l="1"/>
  <c r="P531" i="9" s="1"/>
  <c r="R8" i="10"/>
  <c r="R40" i="10" s="1"/>
  <c r="Q40" i="10"/>
  <c r="R12" i="10"/>
  <c r="R44" i="10" s="1"/>
  <c r="Q44" i="10"/>
  <c r="Q39" i="10"/>
  <c r="R7" i="10"/>
  <c r="R39" i="10" s="1"/>
  <c r="R4" i="10"/>
  <c r="R36" i="10" s="1"/>
  <c r="Q36" i="10"/>
  <c r="R13" i="10"/>
  <c r="R45" i="10" s="1"/>
  <c r="Q45" i="10"/>
  <c r="P34" i="10"/>
  <c r="P47" i="10" s="1"/>
  <c r="P15" i="10"/>
  <c r="Q2" i="10"/>
  <c r="R10" i="10"/>
  <c r="R42" i="10" s="1"/>
  <c r="Q42" i="10"/>
  <c r="Q38" i="10"/>
  <c r="R6" i="10"/>
  <c r="R38" i="10" s="1"/>
  <c r="Q35" i="10"/>
  <c r="R3" i="10"/>
  <c r="R35" i="10" s="1"/>
  <c r="R5" i="10"/>
  <c r="R37" i="10" s="1"/>
  <c r="Q37" i="10"/>
  <c r="Q43" i="10"/>
  <c r="R11" i="10"/>
  <c r="R43" i="10" s="1"/>
  <c r="R9" i="10"/>
  <c r="R41" i="10" s="1"/>
  <c r="Q41" i="10"/>
  <c r="P524" i="9"/>
  <c r="Q524" i="9" s="1"/>
  <c r="R524" i="9" s="1"/>
  <c r="L533" i="9"/>
  <c r="N530" i="9"/>
  <c r="O520" i="9"/>
  <c r="O523" i="9"/>
  <c r="P523" i="9" s="1"/>
  <c r="Q523" i="9" s="1"/>
  <c r="O529" i="9"/>
  <c r="M525" i="9"/>
  <c r="N526" i="9"/>
  <c r="M527" i="9"/>
  <c r="N527" i="9" s="1"/>
  <c r="Q521" i="9"/>
  <c r="R521" i="9" s="1"/>
  <c r="Q522" i="9"/>
  <c r="R522" i="9" s="1"/>
  <c r="O528" i="9"/>
  <c r="AS255" i="1"/>
  <c r="Q531" i="9" l="1"/>
  <c r="R531" i="9" s="1"/>
  <c r="Q34" i="10"/>
  <c r="Q47" i="10" s="1"/>
  <c r="R2" i="10"/>
  <c r="Q15" i="10"/>
  <c r="O530" i="9"/>
  <c r="P530" i="9" s="1"/>
  <c r="P528" i="9"/>
  <c r="Q528" i="9" s="1"/>
  <c r="M533" i="9"/>
  <c r="R523" i="9"/>
  <c r="O527" i="9"/>
  <c r="P529" i="9"/>
  <c r="N525" i="9"/>
  <c r="P520" i="9"/>
  <c r="O526" i="9"/>
  <c r="S533" i="1"/>
  <c r="I533" i="1"/>
  <c r="R34" i="10" l="1"/>
  <c r="R47" i="10" s="1"/>
  <c r="R15" i="10"/>
  <c r="Q530" i="9"/>
  <c r="R530" i="9" s="1"/>
  <c r="R528" i="9"/>
  <c r="P527" i="9"/>
  <c r="Q527" i="9" s="1"/>
  <c r="R527" i="9" s="1"/>
  <c r="P526" i="9"/>
  <c r="Q526" i="9" s="1"/>
  <c r="N533" i="9"/>
  <c r="O525" i="9"/>
  <c r="O533" i="9" s="1"/>
  <c r="Q529" i="9"/>
  <c r="R529" i="9" s="1"/>
  <c r="Q520" i="9"/>
  <c r="H533" i="1"/>
  <c r="G533" i="1"/>
  <c r="AQ489" i="1"/>
  <c r="AQ391" i="1"/>
  <c r="AQ450" i="1"/>
  <c r="AQ345" i="1"/>
  <c r="AQ316" i="1"/>
  <c r="AQ290" i="1"/>
  <c r="AQ255" i="1"/>
  <c r="AQ212" i="1"/>
  <c r="AQ157" i="1"/>
  <c r="AQ119" i="1"/>
  <c r="AQ81" i="1"/>
  <c r="AQ39" i="1"/>
  <c r="AQ457" i="1"/>
  <c r="AQ398" i="1"/>
  <c r="AQ352" i="1"/>
  <c r="AQ323" i="1"/>
  <c r="AQ297" i="1"/>
  <c r="AQ262" i="1"/>
  <c r="AQ164" i="1"/>
  <c r="AQ126" i="1"/>
  <c r="AQ88" i="1"/>
  <c r="AQ46" i="1"/>
  <c r="R526" i="9" l="1"/>
  <c r="P525" i="9"/>
  <c r="P533" i="9" s="1"/>
  <c r="R520" i="9"/>
  <c r="AQ492" i="1"/>
  <c r="J533" i="1"/>
  <c r="Q525" i="9" l="1"/>
  <c r="Q533" i="9" s="1"/>
  <c r="K533" i="1"/>
  <c r="R525" i="9" l="1"/>
  <c r="R533" i="9" s="1"/>
  <c r="L533" i="1"/>
  <c r="C64" i="8"/>
  <c r="C60" i="8"/>
  <c r="C63" i="8"/>
  <c r="C23" i="8"/>
  <c r="AG23" i="8" s="1"/>
  <c r="E21" i="8"/>
  <c r="E20" i="8"/>
  <c r="E19" i="8"/>
  <c r="E18" i="8"/>
  <c r="E17" i="8"/>
  <c r="E16" i="8"/>
  <c r="E15" i="8"/>
  <c r="E14" i="8"/>
  <c r="E13" i="8"/>
  <c r="E12" i="8"/>
  <c r="E11" i="8"/>
  <c r="E10" i="8"/>
  <c r="G23" i="8"/>
  <c r="AH23" i="8" s="1"/>
  <c r="I21" i="8"/>
  <c r="I20" i="8"/>
  <c r="I19" i="8"/>
  <c r="I18" i="8"/>
  <c r="I17" i="8"/>
  <c r="I16" i="8"/>
  <c r="I15" i="8"/>
  <c r="I14" i="8"/>
  <c r="I13" i="8"/>
  <c r="I11" i="8"/>
  <c r="I10" i="8"/>
  <c r="M11" i="8"/>
  <c r="M12" i="8"/>
  <c r="M13" i="8"/>
  <c r="M14" i="8"/>
  <c r="M15" i="8"/>
  <c r="M16" i="8"/>
  <c r="M17" i="8"/>
  <c r="M18" i="8"/>
  <c r="M19" i="8"/>
  <c r="M20" i="8"/>
  <c r="M21" i="8"/>
  <c r="G49" i="8"/>
  <c r="G64" i="8"/>
  <c r="K47" i="8"/>
  <c r="K23" i="8"/>
  <c r="AI23" i="8" s="1"/>
  <c r="K64" i="8"/>
  <c r="O55" i="8"/>
  <c r="O47" i="8"/>
  <c r="S64" i="8"/>
  <c r="S63" i="8"/>
  <c r="S60" i="8"/>
  <c r="O63" i="8" l="1"/>
  <c r="AN10" i="8"/>
  <c r="G60" i="8"/>
  <c r="AH60" i="8" s="1"/>
  <c r="AJ12" i="8"/>
  <c r="O64" i="8"/>
  <c r="O66" i="8" s="1"/>
  <c r="AN18" i="8"/>
  <c r="K60" i="8"/>
  <c r="AL10" i="8"/>
  <c r="M533" i="1"/>
  <c r="E29" i="8"/>
  <c r="C31" i="8"/>
  <c r="E23" i="8"/>
  <c r="C66" i="8"/>
  <c r="E28" i="8"/>
  <c r="S66" i="8"/>
  <c r="M10" i="8"/>
  <c r="I12" i="8"/>
  <c r="O60" i="8"/>
  <c r="I29" i="8"/>
  <c r="G31" i="8"/>
  <c r="G63" i="8"/>
  <c r="G66" i="8" s="1"/>
  <c r="K63" i="8"/>
  <c r="K66" i="8" s="1"/>
  <c r="M29" i="8"/>
  <c r="I23" i="8" l="1"/>
  <c r="M23" i="8"/>
  <c r="N533" i="1"/>
  <c r="E31" i="8"/>
  <c r="M28" i="8"/>
  <c r="I28" i="8"/>
  <c r="I31" i="8"/>
  <c r="K31" i="8"/>
  <c r="M31" i="8" s="1"/>
  <c r="O533" i="1" l="1"/>
  <c r="P533" i="1"/>
  <c r="U533" i="1" l="1"/>
  <c r="R533" i="1"/>
  <c r="Q533" i="1"/>
  <c r="AC489" i="6" l="1"/>
  <c r="AC490" i="1" s="1"/>
  <c r="AB489" i="6"/>
  <c r="AB490" i="1" s="1"/>
  <c r="AA489" i="6"/>
  <c r="AA490" i="1" s="1"/>
  <c r="AC450" i="6"/>
  <c r="AC451" i="1" s="1"/>
  <c r="AB450" i="6"/>
  <c r="AB451" i="1" s="1"/>
  <c r="AA450" i="6"/>
  <c r="AA451" i="1" s="1"/>
  <c r="AC391" i="6"/>
  <c r="AC392" i="1" s="1"/>
  <c r="AB391" i="6"/>
  <c r="AB392" i="1" s="1"/>
  <c r="AA391" i="6"/>
  <c r="AA392" i="1" s="1"/>
  <c r="AC345" i="6"/>
  <c r="AC346" i="1" s="1"/>
  <c r="AB345" i="6"/>
  <c r="AB346" i="1" s="1"/>
  <c r="AA345" i="6"/>
  <c r="AA346" i="1" s="1"/>
  <c r="AC316" i="6"/>
  <c r="AC317" i="1" s="1"/>
  <c r="AB316" i="6"/>
  <c r="AB317" i="1" s="1"/>
  <c r="AA316" i="6"/>
  <c r="AA317" i="1" s="1"/>
  <c r="AC290" i="6"/>
  <c r="AC291" i="1" s="1"/>
  <c r="AB290" i="6"/>
  <c r="AB291" i="1" s="1"/>
  <c r="AA278" i="6"/>
  <c r="AH278" i="1" s="1"/>
  <c r="AC255" i="6"/>
  <c r="AC256" i="1" s="1"/>
  <c r="AB255" i="6"/>
  <c r="AB256" i="1" s="1"/>
  <c r="AA255" i="6"/>
  <c r="AA256" i="1" s="1"/>
  <c r="AC212" i="6"/>
  <c r="AC213" i="1" s="1"/>
  <c r="AB212" i="6"/>
  <c r="AB213" i="1" s="1"/>
  <c r="AA212" i="6"/>
  <c r="AA213" i="1" s="1"/>
  <c r="AC157" i="6"/>
  <c r="AC158" i="1" s="1"/>
  <c r="AB157" i="6"/>
  <c r="AB158" i="1" s="1"/>
  <c r="AA135" i="6"/>
  <c r="AH135" i="1" s="1"/>
  <c r="AC119" i="6"/>
  <c r="AC120" i="1" s="1"/>
  <c r="AB119" i="6"/>
  <c r="AB120" i="1" s="1"/>
  <c r="AA119" i="6"/>
  <c r="AA120" i="1" s="1"/>
  <c r="AC82" i="6"/>
  <c r="AC82" i="1" s="1"/>
  <c r="AB82" i="6"/>
  <c r="AB82" i="1" s="1"/>
  <c r="AA82" i="6"/>
  <c r="AA82" i="1" s="1"/>
  <c r="AC39" i="6"/>
  <c r="AC40" i="1" s="1"/>
  <c r="AB39" i="6"/>
  <c r="AB40" i="1" s="1"/>
  <c r="AA39" i="6"/>
  <c r="AA40" i="1" l="1"/>
  <c r="AM40" i="9"/>
  <c r="E16" i="7"/>
  <c r="P16" i="7" s="1"/>
  <c r="AB492" i="6"/>
  <c r="E11" i="7"/>
  <c r="P11" i="7" s="1"/>
  <c r="AA157" i="6"/>
  <c r="AA158" i="1" s="1"/>
  <c r="E13" i="7"/>
  <c r="P13" i="7" s="1"/>
  <c r="AA290" i="6"/>
  <c r="AA291" i="1" s="1"/>
  <c r="E19" i="7"/>
  <c r="P19" i="7" s="1"/>
  <c r="E10" i="7"/>
  <c r="P10" i="7" s="1"/>
  <c r="E18" i="7"/>
  <c r="P18" i="7" s="1"/>
  <c r="AC492" i="6"/>
  <c r="E14" i="7"/>
  <c r="P14" i="7" s="1"/>
  <c r="E9" i="7"/>
  <c r="E17" i="7"/>
  <c r="P17" i="7" s="1"/>
  <c r="E20" i="7"/>
  <c r="P20" i="7" s="1"/>
  <c r="AM510" i="9" l="1"/>
  <c r="AN40" i="9"/>
  <c r="E12" i="7"/>
  <c r="P12" i="7" s="1"/>
  <c r="E15" i="7"/>
  <c r="P15" i="7" s="1"/>
  <c r="P28" i="7" s="1"/>
  <c r="AA492" i="6"/>
  <c r="P9" i="7"/>
  <c r="E27" i="7"/>
  <c r="AM513" i="9" l="1"/>
  <c r="AM511" i="9"/>
  <c r="AN510" i="9"/>
  <c r="E22" i="7"/>
  <c r="E28" i="7"/>
  <c r="E30" i="7" s="1"/>
  <c r="P27" i="7"/>
  <c r="P30" i="7" s="1"/>
  <c r="P22" i="7"/>
  <c r="AH489" i="1"/>
  <c r="AH450" i="1"/>
  <c r="AH391" i="1"/>
  <c r="AH345" i="1"/>
  <c r="AH316" i="1"/>
  <c r="AH290" i="1"/>
  <c r="AH212" i="1"/>
  <c r="AH119" i="1"/>
  <c r="AH81" i="1"/>
  <c r="AJ448" i="1"/>
  <c r="H80" i="6" l="1"/>
  <c r="W80" i="6" s="1"/>
  <c r="I39" i="3" l="1"/>
  <c r="I40" i="3"/>
  <c r="I41" i="3"/>
  <c r="AE457" i="1" l="1"/>
  <c r="AC457" i="1"/>
  <c r="AB457" i="1"/>
  <c r="AA457" i="1"/>
  <c r="W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G455" i="1"/>
  <c r="AE398" i="1"/>
  <c r="AC398" i="1"/>
  <c r="AB398" i="1"/>
  <c r="AA398" i="1"/>
  <c r="W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D398" i="1"/>
  <c r="C398" i="1"/>
  <c r="B398" i="1"/>
  <c r="G396" i="1"/>
  <c r="AE352" i="1"/>
  <c r="AC352" i="1"/>
  <c r="AB352" i="1"/>
  <c r="AA352" i="1"/>
  <c r="W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D352" i="1"/>
  <c r="C352" i="1"/>
  <c r="B352" i="1"/>
  <c r="G350" i="1"/>
  <c r="AE323" i="1"/>
  <c r="AC323" i="1"/>
  <c r="AB323" i="1"/>
  <c r="AA323" i="1"/>
  <c r="W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G321" i="1"/>
  <c r="AE297" i="1"/>
  <c r="AC297" i="1"/>
  <c r="AB297" i="1"/>
  <c r="AA297" i="1"/>
  <c r="W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G295" i="1"/>
  <c r="AE262" i="1"/>
  <c r="AC262" i="1"/>
  <c r="AB262" i="1"/>
  <c r="AA262" i="1"/>
  <c r="W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D262" i="1"/>
  <c r="C262" i="1"/>
  <c r="B262" i="1"/>
  <c r="G260" i="1"/>
  <c r="AE219" i="1"/>
  <c r="AC219" i="1"/>
  <c r="AB219" i="1"/>
  <c r="AA219" i="1"/>
  <c r="W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G217" i="1"/>
  <c r="AE164" i="1"/>
  <c r="AC164" i="1"/>
  <c r="AB164" i="1"/>
  <c r="AA164" i="1"/>
  <c r="W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G162" i="1"/>
  <c r="AE126" i="1"/>
  <c r="AC126" i="1"/>
  <c r="AB126" i="1"/>
  <c r="AA126" i="1"/>
  <c r="W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/>
  <c r="C126" i="1"/>
  <c r="B126" i="1"/>
  <c r="G124" i="1"/>
  <c r="AE88" i="1"/>
  <c r="AC88" i="1"/>
  <c r="AB88" i="1"/>
  <c r="AA88" i="1"/>
  <c r="W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D88" i="1"/>
  <c r="C88" i="1"/>
  <c r="B88" i="1"/>
  <c r="G86" i="1"/>
  <c r="AE46" i="1"/>
  <c r="AC46" i="1"/>
  <c r="AB46" i="1"/>
  <c r="AA46" i="1"/>
  <c r="W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G44" i="1"/>
  <c r="AE457" i="6"/>
  <c r="W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D457" i="6"/>
  <c r="C457" i="6"/>
  <c r="B457" i="6"/>
  <c r="G455" i="6"/>
  <c r="AE398" i="6"/>
  <c r="W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D398" i="6"/>
  <c r="C398" i="6"/>
  <c r="B398" i="6"/>
  <c r="G396" i="6"/>
  <c r="AE352" i="6"/>
  <c r="W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D352" i="6"/>
  <c r="C352" i="6"/>
  <c r="B352" i="6"/>
  <c r="G350" i="6"/>
  <c r="AE323" i="6"/>
  <c r="W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D323" i="6"/>
  <c r="C323" i="6"/>
  <c r="B323" i="6"/>
  <c r="G321" i="6"/>
  <c r="AE297" i="6"/>
  <c r="W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D297" i="6"/>
  <c r="C297" i="6"/>
  <c r="B297" i="6"/>
  <c r="G295" i="6"/>
  <c r="AE262" i="6"/>
  <c r="W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D262" i="6"/>
  <c r="C262" i="6"/>
  <c r="B262" i="6"/>
  <c r="G260" i="6"/>
  <c r="AE219" i="6"/>
  <c r="W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D219" i="6"/>
  <c r="C219" i="6"/>
  <c r="B219" i="6"/>
  <c r="G217" i="6"/>
  <c r="AE164" i="6"/>
  <c r="W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D164" i="6"/>
  <c r="C164" i="6"/>
  <c r="B164" i="6"/>
  <c r="G162" i="6"/>
  <c r="AE126" i="6"/>
  <c r="W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D126" i="6"/>
  <c r="C126" i="6"/>
  <c r="B126" i="6"/>
  <c r="G124" i="6"/>
  <c r="AE88" i="6"/>
  <c r="W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D88" i="6"/>
  <c r="C88" i="6"/>
  <c r="B88" i="6"/>
  <c r="G86" i="6"/>
  <c r="AE46" i="6"/>
  <c r="G44" i="6"/>
  <c r="W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B46" i="6"/>
  <c r="C46" i="6"/>
  <c r="D46" i="6"/>
  <c r="F46" i="6"/>
  <c r="H487" i="6"/>
  <c r="W487" i="6" s="1"/>
  <c r="H486" i="6"/>
  <c r="W486" i="6" s="1"/>
  <c r="H485" i="6"/>
  <c r="W485" i="6" s="1"/>
  <c r="H484" i="6"/>
  <c r="I484" i="6" s="1"/>
  <c r="H483" i="6"/>
  <c r="I483" i="6" s="1"/>
  <c r="H482" i="6"/>
  <c r="W482" i="6" s="1"/>
  <c r="H481" i="6"/>
  <c r="H480" i="6"/>
  <c r="W480" i="6" s="1"/>
  <c r="H479" i="6"/>
  <c r="W479" i="6" s="1"/>
  <c r="H478" i="6"/>
  <c r="I478" i="6" s="1"/>
  <c r="H477" i="6"/>
  <c r="W477" i="6" s="1"/>
  <c r="H476" i="6"/>
  <c r="W476" i="6" s="1"/>
  <c r="H475" i="6"/>
  <c r="W475" i="6" s="1"/>
  <c r="H474" i="6"/>
  <c r="I474" i="6" s="1"/>
  <c r="H473" i="6"/>
  <c r="I473" i="6" s="1"/>
  <c r="H472" i="6"/>
  <c r="W472" i="6" s="1"/>
  <c r="H471" i="6"/>
  <c r="I471" i="6" s="1"/>
  <c r="H470" i="6"/>
  <c r="W470" i="6" s="1"/>
  <c r="H469" i="6"/>
  <c r="W469" i="6" s="1"/>
  <c r="H468" i="6"/>
  <c r="W468" i="6" s="1"/>
  <c r="H467" i="6"/>
  <c r="W467" i="6" s="1"/>
  <c r="H466" i="6"/>
  <c r="W466" i="6" s="1"/>
  <c r="H465" i="6"/>
  <c r="W465" i="6" s="1"/>
  <c r="H464" i="6"/>
  <c r="I464" i="6" s="1"/>
  <c r="H463" i="6"/>
  <c r="I463" i="6" s="1"/>
  <c r="H462" i="6"/>
  <c r="W462" i="6" s="1"/>
  <c r="H461" i="6"/>
  <c r="W461" i="6" s="1"/>
  <c r="H460" i="6"/>
  <c r="H447" i="6"/>
  <c r="W447" i="6" s="1"/>
  <c r="H446" i="6"/>
  <c r="W446" i="6" s="1"/>
  <c r="H445" i="6"/>
  <c r="W445" i="6" s="1"/>
  <c r="H444" i="6"/>
  <c r="I444" i="6" s="1"/>
  <c r="H443" i="6"/>
  <c r="W443" i="6" s="1"/>
  <c r="H442" i="6"/>
  <c r="W442" i="6" s="1"/>
  <c r="H441" i="6"/>
  <c r="H440" i="6"/>
  <c r="W440" i="6" s="1"/>
  <c r="H439" i="6"/>
  <c r="W439" i="6" s="1"/>
  <c r="H438" i="6"/>
  <c r="I438" i="6" s="1"/>
  <c r="H437" i="6"/>
  <c r="W437" i="6" s="1"/>
  <c r="H436" i="6"/>
  <c r="W436" i="6" s="1"/>
  <c r="H435" i="6"/>
  <c r="W435" i="6" s="1"/>
  <c r="H434" i="6"/>
  <c r="I434" i="6" s="1"/>
  <c r="H433" i="6"/>
  <c r="W433" i="6" s="1"/>
  <c r="H432" i="6"/>
  <c r="W432" i="6" s="1"/>
  <c r="H431" i="6"/>
  <c r="W431" i="6" s="1"/>
  <c r="H430" i="6"/>
  <c r="W430" i="6" s="1"/>
  <c r="H429" i="6"/>
  <c r="W429" i="6" s="1"/>
  <c r="H428" i="6"/>
  <c r="I428" i="6" s="1"/>
  <c r="H427" i="6"/>
  <c r="W427" i="6" s="1"/>
  <c r="H426" i="6"/>
  <c r="W426" i="6" s="1"/>
  <c r="H425" i="6"/>
  <c r="W425" i="6" s="1"/>
  <c r="H424" i="6"/>
  <c r="I424" i="6" s="1"/>
  <c r="H423" i="6"/>
  <c r="W423" i="6" s="1"/>
  <c r="H422" i="6"/>
  <c r="I422" i="6" s="1"/>
  <c r="H421" i="6"/>
  <c r="I421" i="6" s="1"/>
  <c r="H420" i="6"/>
  <c r="W420" i="6" s="1"/>
  <c r="H419" i="6"/>
  <c r="W419" i="6" s="1"/>
  <c r="H418" i="6"/>
  <c r="W418" i="6" s="1"/>
  <c r="H417" i="6"/>
  <c r="W417" i="6" s="1"/>
  <c r="H416" i="6"/>
  <c r="W416" i="6" s="1"/>
  <c r="H415" i="6"/>
  <c r="W415" i="6" s="1"/>
  <c r="H414" i="6"/>
  <c r="I414" i="6" s="1"/>
  <c r="H413" i="6"/>
  <c r="W413" i="6" s="1"/>
  <c r="H412" i="6"/>
  <c r="I412" i="6" s="1"/>
  <c r="H411" i="6"/>
  <c r="W411" i="6" s="1"/>
  <c r="H410" i="6"/>
  <c r="W410" i="6" s="1"/>
  <c r="H409" i="6"/>
  <c r="W409" i="6" s="1"/>
  <c r="H408" i="6"/>
  <c r="W408" i="6" s="1"/>
  <c r="H407" i="6"/>
  <c r="W407" i="6" s="1"/>
  <c r="H406" i="6"/>
  <c r="W406" i="6" s="1"/>
  <c r="H405" i="6"/>
  <c r="W405" i="6" s="1"/>
  <c r="H404" i="6"/>
  <c r="I404" i="6" s="1"/>
  <c r="H403" i="6"/>
  <c r="W403" i="6" s="1"/>
  <c r="H402" i="6"/>
  <c r="I402" i="6" s="1"/>
  <c r="H401" i="6"/>
  <c r="H389" i="6"/>
  <c r="W389" i="6" s="1"/>
  <c r="H388" i="6"/>
  <c r="W388" i="6" s="1"/>
  <c r="H387" i="6"/>
  <c r="W387" i="6" s="1"/>
  <c r="H386" i="6"/>
  <c r="I386" i="6" s="1"/>
  <c r="H385" i="6"/>
  <c r="W385" i="6" s="1"/>
  <c r="H384" i="6"/>
  <c r="W384" i="6" s="1"/>
  <c r="H383" i="6"/>
  <c r="I383" i="6" s="1"/>
  <c r="H382" i="6"/>
  <c r="W382" i="6" s="1"/>
  <c r="H381" i="6"/>
  <c r="W381" i="6" s="1"/>
  <c r="H380" i="6"/>
  <c r="W380" i="6" s="1"/>
  <c r="H379" i="6"/>
  <c r="W379" i="6" s="1"/>
  <c r="H378" i="6"/>
  <c r="W378" i="6" s="1"/>
  <c r="H377" i="6"/>
  <c r="W377" i="6" s="1"/>
  <c r="H376" i="6"/>
  <c r="I376" i="6" s="1"/>
  <c r="H375" i="6"/>
  <c r="W375" i="6" s="1"/>
  <c r="H374" i="6"/>
  <c r="W374" i="6" s="1"/>
  <c r="H373" i="6"/>
  <c r="W373" i="6" s="1"/>
  <c r="H372" i="6"/>
  <c r="W372" i="6" s="1"/>
  <c r="H371" i="6"/>
  <c r="W371" i="6" s="1"/>
  <c r="H370" i="6"/>
  <c r="W370" i="6" s="1"/>
  <c r="H369" i="6"/>
  <c r="W369" i="6" s="1"/>
  <c r="H368" i="6"/>
  <c r="W368" i="6" s="1"/>
  <c r="H367" i="6"/>
  <c r="W367" i="6" s="1"/>
  <c r="H366" i="6"/>
  <c r="I366" i="6" s="1"/>
  <c r="H365" i="6"/>
  <c r="W365" i="6" s="1"/>
  <c r="H364" i="6"/>
  <c r="W364" i="6" s="1"/>
  <c r="H363" i="6"/>
  <c r="I363" i="6" s="1"/>
  <c r="H362" i="6"/>
  <c r="W362" i="6" s="1"/>
  <c r="H361" i="6"/>
  <c r="W361" i="6" s="1"/>
  <c r="H360" i="6"/>
  <c r="W360" i="6" s="1"/>
  <c r="H359" i="6"/>
  <c r="W359" i="6" s="1"/>
  <c r="H358" i="6"/>
  <c r="W358" i="6" s="1"/>
  <c r="H357" i="6"/>
  <c r="W357" i="6" s="1"/>
  <c r="H356" i="6"/>
  <c r="I356" i="6" s="1"/>
  <c r="H355" i="6"/>
  <c r="H343" i="6"/>
  <c r="W343" i="6" s="1"/>
  <c r="H342" i="6"/>
  <c r="I342" i="6" s="1"/>
  <c r="H341" i="6"/>
  <c r="W341" i="6" s="1"/>
  <c r="H340" i="6"/>
  <c r="I340" i="6" s="1"/>
  <c r="H339" i="6"/>
  <c r="I339" i="6" s="1"/>
  <c r="H338" i="6"/>
  <c r="W338" i="6" s="1"/>
  <c r="H337" i="6"/>
  <c r="W337" i="6" s="1"/>
  <c r="H336" i="6"/>
  <c r="I336" i="6" s="1"/>
  <c r="H335" i="6"/>
  <c r="I335" i="6" s="1"/>
  <c r="H334" i="6"/>
  <c r="W334" i="6" s="1"/>
  <c r="H333" i="6"/>
  <c r="W333" i="6" s="1"/>
  <c r="H332" i="6"/>
  <c r="W332" i="6" s="1"/>
  <c r="H331" i="6"/>
  <c r="W331" i="6" s="1"/>
  <c r="H330" i="6"/>
  <c r="I330" i="6" s="1"/>
  <c r="H329" i="6"/>
  <c r="I329" i="6" s="1"/>
  <c r="H328" i="6"/>
  <c r="W328" i="6" s="1"/>
  <c r="H327" i="6"/>
  <c r="W327" i="6" s="1"/>
  <c r="H326" i="6"/>
  <c r="H314" i="6"/>
  <c r="W314" i="6" s="1"/>
  <c r="H313" i="6"/>
  <c r="W313" i="6" s="1"/>
  <c r="H312" i="6"/>
  <c r="W312" i="6" s="1"/>
  <c r="H311" i="6"/>
  <c r="I311" i="6" s="1"/>
  <c r="H310" i="6"/>
  <c r="W310" i="6" s="1"/>
  <c r="H309" i="6"/>
  <c r="I309" i="6" s="1"/>
  <c r="H308" i="6"/>
  <c r="I308" i="6" s="1"/>
  <c r="H307" i="6"/>
  <c r="W307" i="6" s="1"/>
  <c r="H306" i="6"/>
  <c r="I306" i="6" s="1"/>
  <c r="H305" i="6"/>
  <c r="W305" i="6" s="1"/>
  <c r="H304" i="6"/>
  <c r="W304" i="6" s="1"/>
  <c r="H303" i="6"/>
  <c r="W303" i="6" s="1"/>
  <c r="H302" i="6"/>
  <c r="W302" i="6" s="1"/>
  <c r="H301" i="6"/>
  <c r="W301" i="6" s="1"/>
  <c r="H300" i="6"/>
  <c r="H288" i="6"/>
  <c r="W288" i="6" s="1"/>
  <c r="H287" i="6"/>
  <c r="W287" i="6" s="1"/>
  <c r="H286" i="6"/>
  <c r="W286" i="6" s="1"/>
  <c r="H285" i="6"/>
  <c r="I285" i="6" s="1"/>
  <c r="H284" i="6"/>
  <c r="W284" i="6" s="1"/>
  <c r="H283" i="6"/>
  <c r="W283" i="6" s="1"/>
  <c r="H282" i="6"/>
  <c r="W282" i="6" s="1"/>
  <c r="H281" i="6"/>
  <c r="W281" i="6" s="1"/>
  <c r="H280" i="6"/>
  <c r="W280" i="6" s="1"/>
  <c r="H279" i="6"/>
  <c r="W279" i="6" s="1"/>
  <c r="H278" i="6"/>
  <c r="W278" i="6" s="1"/>
  <c r="H277" i="6"/>
  <c r="W277" i="6" s="1"/>
  <c r="H276" i="6"/>
  <c r="W276" i="6" s="1"/>
  <c r="H275" i="6"/>
  <c r="W275" i="6" s="1"/>
  <c r="H274" i="6"/>
  <c r="W274" i="6" s="1"/>
  <c r="H273" i="6"/>
  <c r="W273" i="6" s="1"/>
  <c r="H272" i="6"/>
  <c r="I272" i="6" s="1"/>
  <c r="H271" i="6"/>
  <c r="W271" i="6" s="1"/>
  <c r="H270" i="6"/>
  <c r="W270" i="6" s="1"/>
  <c r="H269" i="6"/>
  <c r="W269" i="6" s="1"/>
  <c r="H268" i="6"/>
  <c r="W268" i="6" s="1"/>
  <c r="H267" i="6"/>
  <c r="W267" i="6" s="1"/>
  <c r="H266" i="6"/>
  <c r="W266" i="6" s="1"/>
  <c r="H265" i="6"/>
  <c r="U253" i="6"/>
  <c r="AH253" i="1" s="1"/>
  <c r="H252" i="6"/>
  <c r="W252" i="6" s="1"/>
  <c r="H251" i="6"/>
  <c r="I251" i="6" s="1"/>
  <c r="H250" i="6"/>
  <c r="W250" i="6" s="1"/>
  <c r="H249" i="6"/>
  <c r="W249" i="6" s="1"/>
  <c r="H248" i="6"/>
  <c r="W248" i="6" s="1"/>
  <c r="H247" i="6"/>
  <c r="I247" i="6" s="1"/>
  <c r="H246" i="6"/>
  <c r="I246" i="6" s="1"/>
  <c r="H245" i="6"/>
  <c r="I245" i="6" s="1"/>
  <c r="H244" i="6"/>
  <c r="I244" i="6" s="1"/>
  <c r="H243" i="6"/>
  <c r="I243" i="6" s="1"/>
  <c r="H242" i="6"/>
  <c r="W242" i="6" s="1"/>
  <c r="H241" i="6"/>
  <c r="I241" i="6" s="1"/>
  <c r="H240" i="6"/>
  <c r="W240" i="6" s="1"/>
  <c r="H239" i="6"/>
  <c r="W239" i="6" s="1"/>
  <c r="H238" i="6"/>
  <c r="W238" i="6" s="1"/>
  <c r="H237" i="6"/>
  <c r="I237" i="6" s="1"/>
  <c r="H236" i="6"/>
  <c r="W236" i="6" s="1"/>
  <c r="H235" i="6"/>
  <c r="I235" i="6" s="1"/>
  <c r="H234" i="6"/>
  <c r="W234" i="6" s="1"/>
  <c r="H233" i="6"/>
  <c r="W233" i="6" s="1"/>
  <c r="H232" i="6"/>
  <c r="I232" i="6" s="1"/>
  <c r="H231" i="6"/>
  <c r="I231" i="6" s="1"/>
  <c r="H230" i="6"/>
  <c r="W230" i="6" s="1"/>
  <c r="H229" i="6"/>
  <c r="W229" i="6" s="1"/>
  <c r="H228" i="6"/>
  <c r="W228" i="6" s="1"/>
  <c r="H227" i="6"/>
  <c r="I227" i="6" s="1"/>
  <c r="H226" i="6"/>
  <c r="I226" i="6" s="1"/>
  <c r="H225" i="6"/>
  <c r="I225" i="6" s="1"/>
  <c r="H224" i="6"/>
  <c r="I224" i="6" s="1"/>
  <c r="H223" i="6"/>
  <c r="W223" i="6" s="1"/>
  <c r="H222" i="6"/>
  <c r="H210" i="6"/>
  <c r="W210" i="6" s="1"/>
  <c r="H209" i="6"/>
  <c r="W209" i="6" s="1"/>
  <c r="H208" i="6"/>
  <c r="W208" i="6" s="1"/>
  <c r="H207" i="6"/>
  <c r="I207" i="6" s="1"/>
  <c r="H206" i="6"/>
  <c r="I206" i="6" s="1"/>
  <c r="H205" i="6"/>
  <c r="W205" i="6" s="1"/>
  <c r="H204" i="6"/>
  <c r="W204" i="6" s="1"/>
  <c r="H203" i="6"/>
  <c r="I203" i="6" s="1"/>
  <c r="H202" i="6"/>
  <c r="W202" i="6" s="1"/>
  <c r="H201" i="6"/>
  <c r="W201" i="6" s="1"/>
  <c r="H200" i="6"/>
  <c r="W200" i="6" s="1"/>
  <c r="H199" i="6"/>
  <c r="W199" i="6" s="1"/>
  <c r="H198" i="6"/>
  <c r="W198" i="6" s="1"/>
  <c r="H197" i="6"/>
  <c r="I197" i="6" s="1"/>
  <c r="H196" i="6"/>
  <c r="I196" i="6" s="1"/>
  <c r="H195" i="6"/>
  <c r="W195" i="6" s="1"/>
  <c r="H194" i="6"/>
  <c r="W194" i="6" s="1"/>
  <c r="H193" i="6"/>
  <c r="W193" i="6" s="1"/>
  <c r="H192" i="6"/>
  <c r="W192" i="6" s="1"/>
  <c r="H191" i="6"/>
  <c r="I191" i="6" s="1"/>
  <c r="H190" i="6"/>
  <c r="W190" i="6" s="1"/>
  <c r="H189" i="6"/>
  <c r="W189" i="6" s="1"/>
  <c r="H188" i="6"/>
  <c r="W188" i="6" s="1"/>
  <c r="H187" i="6"/>
  <c r="I187" i="6" s="1"/>
  <c r="H186" i="6"/>
  <c r="I186" i="6" s="1"/>
  <c r="H185" i="6"/>
  <c r="W185" i="6" s="1"/>
  <c r="H184" i="6"/>
  <c r="W184" i="6" s="1"/>
  <c r="H183" i="6"/>
  <c r="I183" i="6" s="1"/>
  <c r="H182" i="6"/>
  <c r="W182" i="6" s="1"/>
  <c r="H181" i="6"/>
  <c r="W181" i="6" s="1"/>
  <c r="H180" i="6"/>
  <c r="W180" i="6" s="1"/>
  <c r="H179" i="6"/>
  <c r="W179" i="6" s="1"/>
  <c r="H178" i="6"/>
  <c r="W178" i="6" s="1"/>
  <c r="H177" i="6"/>
  <c r="I177" i="6" s="1"/>
  <c r="H176" i="6"/>
  <c r="I176" i="6" s="1"/>
  <c r="H175" i="6"/>
  <c r="W175" i="6" s="1"/>
  <c r="H174" i="6"/>
  <c r="W174" i="6" s="1"/>
  <c r="H173" i="6"/>
  <c r="W173" i="6" s="1"/>
  <c r="H172" i="6"/>
  <c r="I172" i="6" s="1"/>
  <c r="H171" i="6"/>
  <c r="W171" i="6" s="1"/>
  <c r="H170" i="6"/>
  <c r="W170" i="6" s="1"/>
  <c r="H169" i="6"/>
  <c r="W169" i="6" s="1"/>
  <c r="H168" i="6"/>
  <c r="W168" i="6" s="1"/>
  <c r="H167" i="6"/>
  <c r="H155" i="6"/>
  <c r="W155" i="6" s="1"/>
  <c r="H154" i="6"/>
  <c r="W154" i="6" s="1"/>
  <c r="H153" i="6"/>
  <c r="W153" i="6" s="1"/>
  <c r="H152" i="6"/>
  <c r="I152" i="6" s="1"/>
  <c r="H151" i="6"/>
  <c r="W151" i="6" s="1"/>
  <c r="H150" i="6"/>
  <c r="W150" i="6" s="1"/>
  <c r="H149" i="6"/>
  <c r="H148" i="6"/>
  <c r="W148" i="6" s="1"/>
  <c r="H147" i="6"/>
  <c r="W147" i="6" s="1"/>
  <c r="H146" i="6"/>
  <c r="W146" i="6" s="1"/>
  <c r="H145" i="6"/>
  <c r="W145" i="6" s="1"/>
  <c r="H144" i="6"/>
  <c r="W144" i="6" s="1"/>
  <c r="H143" i="6"/>
  <c r="W143" i="6" s="1"/>
  <c r="H142" i="6"/>
  <c r="I142" i="6" s="1"/>
  <c r="H141" i="6"/>
  <c r="W141" i="6" s="1"/>
  <c r="H140" i="6"/>
  <c r="W140" i="6" s="1"/>
  <c r="U139" i="6"/>
  <c r="AH139" i="1" s="1"/>
  <c r="H138" i="6"/>
  <c r="W138" i="6" s="1"/>
  <c r="H137" i="6"/>
  <c r="W137" i="6" s="1"/>
  <c r="H136" i="6"/>
  <c r="W136" i="6" s="1"/>
  <c r="H135" i="6"/>
  <c r="W135" i="6" s="1"/>
  <c r="H134" i="6"/>
  <c r="W134" i="6" s="1"/>
  <c r="H133" i="6"/>
  <c r="I133" i="6" s="1"/>
  <c r="H132" i="6"/>
  <c r="W132" i="6" s="1"/>
  <c r="H131" i="6"/>
  <c r="W131" i="6" s="1"/>
  <c r="H130" i="6"/>
  <c r="W130" i="6" s="1"/>
  <c r="H129" i="6"/>
  <c r="H117" i="6"/>
  <c r="W117" i="6" s="1"/>
  <c r="H116" i="6"/>
  <c r="I116" i="6" s="1"/>
  <c r="H115" i="6"/>
  <c r="W115" i="6" s="1"/>
  <c r="H114" i="6"/>
  <c r="I114" i="6" s="1"/>
  <c r="H113" i="6"/>
  <c r="W113" i="6" s="1"/>
  <c r="H112" i="6"/>
  <c r="W112" i="6" s="1"/>
  <c r="H111" i="6"/>
  <c r="I111" i="6" s="1"/>
  <c r="H110" i="6"/>
  <c r="W110" i="6" s="1"/>
  <c r="H109" i="6"/>
  <c r="W109" i="6" s="1"/>
  <c r="H108" i="6"/>
  <c r="W108" i="6" s="1"/>
  <c r="H107" i="6"/>
  <c r="W107" i="6" s="1"/>
  <c r="H106" i="6"/>
  <c r="W106" i="6" s="1"/>
  <c r="H105" i="6"/>
  <c r="W105" i="6" s="1"/>
  <c r="H104" i="6"/>
  <c r="I104" i="6" s="1"/>
  <c r="H103" i="6"/>
  <c r="W103" i="6" s="1"/>
  <c r="H102" i="6"/>
  <c r="W102" i="6" s="1"/>
  <c r="H101" i="6"/>
  <c r="W101" i="6" s="1"/>
  <c r="H100" i="6"/>
  <c r="W100" i="6" s="1"/>
  <c r="H99" i="6"/>
  <c r="W99" i="6" s="1"/>
  <c r="H98" i="6"/>
  <c r="W98" i="6" s="1"/>
  <c r="H97" i="6"/>
  <c r="W97" i="6" s="1"/>
  <c r="H96" i="6"/>
  <c r="W96" i="6" s="1"/>
  <c r="H95" i="6"/>
  <c r="W95" i="6" s="1"/>
  <c r="H94" i="6"/>
  <c r="I94" i="6" s="1"/>
  <c r="H93" i="6"/>
  <c r="W93" i="6" s="1"/>
  <c r="H92" i="6"/>
  <c r="W92" i="6" s="1"/>
  <c r="H91" i="6"/>
  <c r="H79" i="6"/>
  <c r="W79" i="6" s="1"/>
  <c r="H78" i="6"/>
  <c r="W78" i="6" s="1"/>
  <c r="H77" i="6"/>
  <c r="W77" i="6" s="1"/>
  <c r="H76" i="6"/>
  <c r="I76" i="6" s="1"/>
  <c r="H75" i="6"/>
  <c r="W75" i="6" s="1"/>
  <c r="H74" i="6"/>
  <c r="W74" i="6" s="1"/>
  <c r="H73" i="6"/>
  <c r="W73" i="6" s="1"/>
  <c r="H72" i="6"/>
  <c r="W72" i="6" s="1"/>
  <c r="H71" i="6"/>
  <c r="W71" i="6" s="1"/>
  <c r="H70" i="6"/>
  <c r="W70" i="6" s="1"/>
  <c r="H69" i="6"/>
  <c r="W69" i="6" s="1"/>
  <c r="H68" i="6"/>
  <c r="W68" i="6" s="1"/>
  <c r="H67" i="6"/>
  <c r="W67" i="6" s="1"/>
  <c r="H66" i="6"/>
  <c r="I66" i="6" s="1"/>
  <c r="H65" i="6"/>
  <c r="W65" i="6" s="1"/>
  <c r="H64" i="6"/>
  <c r="W64" i="6" s="1"/>
  <c r="H63" i="6"/>
  <c r="W63" i="6" s="1"/>
  <c r="H62" i="6"/>
  <c r="W62" i="6" s="1"/>
  <c r="H61" i="6"/>
  <c r="W61" i="6" s="1"/>
  <c r="H60" i="6"/>
  <c r="W60" i="6" s="1"/>
  <c r="H59" i="6"/>
  <c r="W59" i="6" s="1"/>
  <c r="H58" i="6"/>
  <c r="W58" i="6" s="1"/>
  <c r="H57" i="6"/>
  <c r="W57" i="6" s="1"/>
  <c r="H56" i="6"/>
  <c r="I56" i="6" s="1"/>
  <c r="H55" i="6"/>
  <c r="W55" i="6" s="1"/>
  <c r="H54" i="6"/>
  <c r="W54" i="6" s="1"/>
  <c r="H53" i="6"/>
  <c r="I53" i="6" s="1"/>
  <c r="H52" i="6"/>
  <c r="W52" i="6" s="1"/>
  <c r="H51" i="6"/>
  <c r="W51" i="6" s="1"/>
  <c r="H50" i="6"/>
  <c r="W50" i="6" s="1"/>
  <c r="H49" i="6"/>
  <c r="H253" i="6" l="1"/>
  <c r="W253" i="6" s="1"/>
  <c r="W94" i="6"/>
  <c r="I431" i="6"/>
  <c r="W186" i="6"/>
  <c r="I193" i="6"/>
  <c r="I174" i="6"/>
  <c r="W232" i="6"/>
  <c r="I327" i="6"/>
  <c r="W342" i="6"/>
  <c r="I401" i="6"/>
  <c r="K62" i="4"/>
  <c r="W460" i="6"/>
  <c r="I91" i="6"/>
  <c r="AH255" i="1"/>
  <c r="W363" i="6"/>
  <c r="W386" i="6"/>
  <c r="I470" i="6"/>
  <c r="I167" i="6"/>
  <c r="W339" i="6"/>
  <c r="W265" i="6"/>
  <c r="W300" i="6"/>
  <c r="I411" i="6"/>
  <c r="W49" i="6"/>
  <c r="W355" i="6"/>
  <c r="W222" i="6"/>
  <c r="W53" i="6"/>
  <c r="W76" i="6"/>
  <c r="W129" i="6"/>
  <c r="W203" i="6"/>
  <c r="I480" i="6"/>
  <c r="I184" i="6"/>
  <c r="W196" i="6"/>
  <c r="I222" i="6"/>
  <c r="I234" i="6"/>
  <c r="I332" i="6"/>
  <c r="W401" i="6"/>
  <c r="W414" i="6"/>
  <c r="W421" i="6"/>
  <c r="I481" i="6"/>
  <c r="W167" i="6"/>
  <c r="W481" i="6"/>
  <c r="I337" i="6"/>
  <c r="H139" i="6"/>
  <c r="AH157" i="1"/>
  <c r="W227" i="6"/>
  <c r="W383" i="6"/>
  <c r="W474" i="6"/>
  <c r="W444" i="6"/>
  <c r="W104" i="6"/>
  <c r="W177" i="6"/>
  <c r="I136" i="6"/>
  <c r="W225" i="6"/>
  <c r="W244" i="6"/>
  <c r="I269" i="6"/>
  <c r="W329" i="6"/>
  <c r="W272" i="6"/>
  <c r="I301" i="6"/>
  <c r="W142" i="6"/>
  <c r="W224" i="6"/>
  <c r="W308" i="6"/>
  <c r="W326" i="6"/>
  <c r="I331" i="6"/>
  <c r="W336" i="6"/>
  <c r="I341" i="6"/>
  <c r="W366" i="6"/>
  <c r="I441" i="6"/>
  <c r="I460" i="6"/>
  <c r="W471" i="6"/>
  <c r="I242" i="6"/>
  <c r="W463" i="6"/>
  <c r="W91" i="6"/>
  <c r="W133" i="6"/>
  <c r="I194" i="6"/>
  <c r="W330" i="6"/>
  <c r="I373" i="6"/>
  <c r="I326" i="6"/>
  <c r="I101" i="6"/>
  <c r="W176" i="6"/>
  <c r="W183" i="6"/>
  <c r="W207" i="6"/>
  <c r="W66" i="6"/>
  <c r="W152" i="6"/>
  <c r="W237" i="6"/>
  <c r="W434" i="6"/>
  <c r="W441" i="6"/>
  <c r="W484" i="6"/>
  <c r="W247" i="6"/>
  <c r="W335" i="6"/>
  <c r="W356" i="6"/>
  <c r="W404" i="6"/>
  <c r="W424" i="6"/>
  <c r="I439" i="6"/>
  <c r="W114" i="6"/>
  <c r="W187" i="6"/>
  <c r="W206" i="6"/>
  <c r="W235" i="6"/>
  <c r="I282" i="6"/>
  <c r="W376" i="6"/>
  <c r="I409" i="6"/>
  <c r="I429" i="6"/>
  <c r="I461" i="6"/>
  <c r="W473" i="6"/>
  <c r="I307" i="6"/>
  <c r="I173" i="6"/>
  <c r="I252" i="6"/>
  <c r="W285" i="6"/>
  <c r="W111" i="6"/>
  <c r="W197" i="6"/>
  <c r="I204" i="6"/>
  <c r="W245" i="6"/>
  <c r="W311" i="6"/>
  <c r="W402" i="6"/>
  <c r="W422" i="6"/>
  <c r="W340" i="6"/>
  <c r="I419" i="6"/>
  <c r="W412" i="6"/>
  <c r="W464" i="6"/>
  <c r="W483" i="6"/>
  <c r="I149" i="6"/>
  <c r="W149" i="6"/>
  <c r="I63" i="6"/>
  <c r="W56" i="6"/>
  <c r="I73" i="6"/>
  <c r="I465" i="6"/>
  <c r="I475" i="6"/>
  <c r="W478" i="6"/>
  <c r="I485" i="6"/>
  <c r="I462" i="6"/>
  <c r="I472" i="6"/>
  <c r="I482" i="6"/>
  <c r="I469" i="6"/>
  <c r="I479" i="6"/>
  <c r="I466" i="6"/>
  <c r="I476" i="6"/>
  <c r="I486" i="6"/>
  <c r="I468" i="6"/>
  <c r="I467" i="6"/>
  <c r="I477" i="6"/>
  <c r="I487" i="6"/>
  <c r="I408" i="6"/>
  <c r="I418" i="6"/>
  <c r="I405" i="6"/>
  <c r="I415" i="6"/>
  <c r="I425" i="6"/>
  <c r="W428" i="6"/>
  <c r="I435" i="6"/>
  <c r="W438" i="6"/>
  <c r="I445" i="6"/>
  <c r="I432" i="6"/>
  <c r="I442" i="6"/>
  <c r="I406" i="6"/>
  <c r="I416" i="6"/>
  <c r="I426" i="6"/>
  <c r="I436" i="6"/>
  <c r="I446" i="6"/>
  <c r="I403" i="6"/>
  <c r="I423" i="6"/>
  <c r="I433" i="6"/>
  <c r="I443" i="6"/>
  <c r="I413" i="6"/>
  <c r="I410" i="6"/>
  <c r="I420" i="6"/>
  <c r="I430" i="6"/>
  <c r="I440" i="6"/>
  <c r="I407" i="6"/>
  <c r="I417" i="6"/>
  <c r="I427" i="6"/>
  <c r="I437" i="6"/>
  <c r="I447" i="6"/>
  <c r="I360" i="6"/>
  <c r="I370" i="6"/>
  <c r="I380" i="6"/>
  <c r="I357" i="6"/>
  <c r="I367" i="6"/>
  <c r="I377" i="6"/>
  <c r="I387" i="6"/>
  <c r="I364" i="6"/>
  <c r="I374" i="6"/>
  <c r="I384" i="6"/>
  <c r="I361" i="6"/>
  <c r="I371" i="6"/>
  <c r="I381" i="6"/>
  <c r="I358" i="6"/>
  <c r="I368" i="6"/>
  <c r="I378" i="6"/>
  <c r="I388" i="6"/>
  <c r="I355" i="6"/>
  <c r="I365" i="6"/>
  <c r="I375" i="6"/>
  <c r="I385" i="6"/>
  <c r="I362" i="6"/>
  <c r="I372" i="6"/>
  <c r="I382" i="6"/>
  <c r="I359" i="6"/>
  <c r="I369" i="6"/>
  <c r="I379" i="6"/>
  <c r="I389" i="6"/>
  <c r="I334" i="6"/>
  <c r="I328" i="6"/>
  <c r="I338" i="6"/>
  <c r="I333" i="6"/>
  <c r="I343" i="6"/>
  <c r="I302" i="6"/>
  <c r="I312" i="6"/>
  <c r="W309" i="6"/>
  <c r="I303" i="6"/>
  <c r="W306" i="6"/>
  <c r="I313" i="6"/>
  <c r="I300" i="6"/>
  <c r="I310" i="6"/>
  <c r="I305" i="6"/>
  <c r="I304" i="6"/>
  <c r="I314" i="6"/>
  <c r="I266" i="6"/>
  <c r="I276" i="6"/>
  <c r="I279" i="6"/>
  <c r="I273" i="6"/>
  <c r="I286" i="6"/>
  <c r="I270" i="6"/>
  <c r="I283" i="6"/>
  <c r="I267" i="6"/>
  <c r="I277" i="6"/>
  <c r="I280" i="6"/>
  <c r="I274" i="6"/>
  <c r="I287" i="6"/>
  <c r="I271" i="6"/>
  <c r="I284" i="6"/>
  <c r="I268" i="6"/>
  <c r="I278" i="6"/>
  <c r="I281" i="6"/>
  <c r="I265" i="6"/>
  <c r="I275" i="6"/>
  <c r="I288" i="6"/>
  <c r="I228" i="6"/>
  <c r="W231" i="6"/>
  <c r="I238" i="6"/>
  <c r="W241" i="6"/>
  <c r="I248" i="6"/>
  <c r="W251" i="6"/>
  <c r="I239" i="6"/>
  <c r="I253" i="6"/>
  <c r="I229" i="6"/>
  <c r="I249" i="6"/>
  <c r="I223" i="6"/>
  <c r="W226" i="6"/>
  <c r="I233" i="6"/>
  <c r="W246" i="6"/>
  <c r="I230" i="6"/>
  <c r="I240" i="6"/>
  <c r="W243" i="6"/>
  <c r="I250" i="6"/>
  <c r="I236" i="6"/>
  <c r="I181" i="6"/>
  <c r="W172" i="6"/>
  <c r="I209" i="6"/>
  <c r="I171" i="6"/>
  <c r="I201" i="6"/>
  <c r="I168" i="6"/>
  <c r="I178" i="6"/>
  <c r="I188" i="6"/>
  <c r="W191" i="6"/>
  <c r="I198" i="6"/>
  <c r="I208" i="6"/>
  <c r="I175" i="6"/>
  <c r="I185" i="6"/>
  <c r="I195" i="6"/>
  <c r="I205" i="6"/>
  <c r="I182" i="6"/>
  <c r="I192" i="6"/>
  <c r="I202" i="6"/>
  <c r="I169" i="6"/>
  <c r="I179" i="6"/>
  <c r="I189" i="6"/>
  <c r="I199" i="6"/>
  <c r="I170" i="6"/>
  <c r="I180" i="6"/>
  <c r="I190" i="6"/>
  <c r="I200" i="6"/>
  <c r="I210" i="6"/>
  <c r="I139" i="6"/>
  <c r="W139" i="6"/>
  <c r="I130" i="6"/>
  <c r="I146" i="6"/>
  <c r="I143" i="6"/>
  <c r="I153" i="6"/>
  <c r="I134" i="6"/>
  <c r="I137" i="6"/>
  <c r="I140" i="6"/>
  <c r="I150" i="6"/>
  <c r="I131" i="6"/>
  <c r="I147" i="6"/>
  <c r="I144" i="6"/>
  <c r="I154" i="6"/>
  <c r="I135" i="6"/>
  <c r="I138" i="6"/>
  <c r="I141" i="6"/>
  <c r="I151" i="6"/>
  <c r="I132" i="6"/>
  <c r="I148" i="6"/>
  <c r="I129" i="6"/>
  <c r="I145" i="6"/>
  <c r="I155" i="6"/>
  <c r="I113" i="6"/>
  <c r="W116" i="6"/>
  <c r="I98" i="6"/>
  <c r="I108" i="6"/>
  <c r="I95" i="6"/>
  <c r="I105" i="6"/>
  <c r="I115" i="6"/>
  <c r="I92" i="6"/>
  <c r="I102" i="6"/>
  <c r="I112" i="6"/>
  <c r="I99" i="6"/>
  <c r="I109" i="6"/>
  <c r="I96" i="6"/>
  <c r="I106" i="6"/>
  <c r="I93" i="6"/>
  <c r="I103" i="6"/>
  <c r="I100" i="6"/>
  <c r="I110" i="6"/>
  <c r="I97" i="6"/>
  <c r="I107" i="6"/>
  <c r="I117" i="6"/>
  <c r="I50" i="6"/>
  <c r="I60" i="6"/>
  <c r="I70" i="6"/>
  <c r="I57" i="6"/>
  <c r="I67" i="6"/>
  <c r="I77" i="6"/>
  <c r="I54" i="6"/>
  <c r="I64" i="6"/>
  <c r="I74" i="6"/>
  <c r="I51" i="6"/>
  <c r="I61" i="6"/>
  <c r="I71" i="6"/>
  <c r="I58" i="6"/>
  <c r="I68" i="6"/>
  <c r="I78" i="6"/>
  <c r="I55" i="6"/>
  <c r="I65" i="6"/>
  <c r="I75" i="6"/>
  <c r="I52" i="6"/>
  <c r="I62" i="6"/>
  <c r="I72" i="6"/>
  <c r="I49" i="6"/>
  <c r="I59" i="6"/>
  <c r="I69" i="6"/>
  <c r="I79" i="6"/>
  <c r="U507" i="6" l="1"/>
  <c r="T507" i="6"/>
  <c r="J507" i="6"/>
  <c r="I507" i="6"/>
  <c r="U506" i="6"/>
  <c r="I506" i="6"/>
  <c r="T506" i="6"/>
  <c r="J506" i="6"/>
  <c r="U502" i="6"/>
  <c r="I502" i="6"/>
  <c r="T502" i="6"/>
  <c r="J502" i="6"/>
  <c r="U504" i="6"/>
  <c r="I504" i="6"/>
  <c r="T504" i="6"/>
  <c r="J504" i="6"/>
  <c r="U505" i="6"/>
  <c r="T505" i="6"/>
  <c r="J505" i="6"/>
  <c r="I505" i="6"/>
  <c r="J62" i="4"/>
  <c r="U509" i="6"/>
  <c r="T509" i="6"/>
  <c r="J509" i="6"/>
  <c r="I509" i="6"/>
  <c r="U508" i="6"/>
  <c r="J508" i="6"/>
  <c r="I508" i="6"/>
  <c r="T508" i="6"/>
  <c r="U512" i="6"/>
  <c r="I512" i="6"/>
  <c r="T512" i="6"/>
  <c r="J512" i="6"/>
  <c r="U510" i="6"/>
  <c r="I510" i="6"/>
  <c r="T510" i="6"/>
  <c r="J510" i="6"/>
  <c r="U503" i="6"/>
  <c r="T503" i="6"/>
  <c r="J503" i="6"/>
  <c r="I503" i="6"/>
  <c r="U511" i="6"/>
  <c r="T511" i="6"/>
  <c r="J511" i="6"/>
  <c r="I511" i="6"/>
  <c r="H63" i="4"/>
  <c r="I63" i="4"/>
  <c r="I26" i="4"/>
  <c r="H9" i="1"/>
  <c r="AJ9" i="1" s="1"/>
  <c r="AL9" i="1" s="1"/>
  <c r="H10" i="1"/>
  <c r="AJ10" i="1" s="1"/>
  <c r="AL10" i="1" s="1"/>
  <c r="H11" i="1"/>
  <c r="AJ11" i="1" s="1"/>
  <c r="AL11" i="1" s="1"/>
  <c r="H12" i="1"/>
  <c r="AJ12" i="1" s="1"/>
  <c r="AL12" i="1" s="1"/>
  <c r="H13" i="1"/>
  <c r="AJ13" i="1" s="1"/>
  <c r="AL13" i="1" s="1"/>
  <c r="H14" i="1"/>
  <c r="AJ14" i="1" s="1"/>
  <c r="AL14" i="1" s="1"/>
  <c r="H15" i="1"/>
  <c r="AJ15" i="1" s="1"/>
  <c r="AL15" i="1" s="1"/>
  <c r="H16" i="1"/>
  <c r="AJ16" i="1" s="1"/>
  <c r="AL16" i="1" s="1"/>
  <c r="H17" i="1"/>
  <c r="AJ17" i="1" s="1"/>
  <c r="AL17" i="1" s="1"/>
  <c r="H18" i="1"/>
  <c r="AJ18" i="1" s="1"/>
  <c r="AL18" i="1" s="1"/>
  <c r="H19" i="1"/>
  <c r="AJ19" i="1" s="1"/>
  <c r="AL19" i="1" s="1"/>
  <c r="H20" i="1"/>
  <c r="AJ20" i="1" s="1"/>
  <c r="AL20" i="1" s="1"/>
  <c r="H21" i="1"/>
  <c r="AJ21" i="1" s="1"/>
  <c r="AL21" i="1" s="1"/>
  <c r="H22" i="1"/>
  <c r="AJ22" i="1" s="1"/>
  <c r="AL22" i="1" s="1"/>
  <c r="H23" i="1"/>
  <c r="AJ23" i="1" s="1"/>
  <c r="AL23" i="1" s="1"/>
  <c r="H24" i="1"/>
  <c r="AJ24" i="1" s="1"/>
  <c r="AL24" i="1" s="1"/>
  <c r="H25" i="1"/>
  <c r="AJ25" i="1" s="1"/>
  <c r="AL25" i="1" s="1"/>
  <c r="H26" i="1"/>
  <c r="AJ26" i="1" s="1"/>
  <c r="AL26" i="1" s="1"/>
  <c r="H27" i="1"/>
  <c r="AJ27" i="1" s="1"/>
  <c r="AL27" i="1" s="1"/>
  <c r="H28" i="1"/>
  <c r="AJ28" i="1" s="1"/>
  <c r="AL28" i="1" s="1"/>
  <c r="H29" i="1"/>
  <c r="AJ29" i="1" s="1"/>
  <c r="AL29" i="1" s="1"/>
  <c r="H30" i="1"/>
  <c r="AJ30" i="1" s="1"/>
  <c r="AL30" i="1" s="1"/>
  <c r="H31" i="1"/>
  <c r="AJ31" i="1" s="1"/>
  <c r="AL31" i="1" s="1"/>
  <c r="H32" i="1"/>
  <c r="AJ32" i="1" s="1"/>
  <c r="AL32" i="1" s="1"/>
  <c r="H33" i="1"/>
  <c r="AJ33" i="1" s="1"/>
  <c r="AL33" i="1" s="1"/>
  <c r="H34" i="1"/>
  <c r="AJ34" i="1" s="1"/>
  <c r="AL34" i="1" s="1"/>
  <c r="H35" i="1"/>
  <c r="AJ35" i="1" s="1"/>
  <c r="AL35" i="1" s="1"/>
  <c r="H37" i="1"/>
  <c r="AJ37" i="1" s="1"/>
  <c r="AL37" i="1" s="1"/>
  <c r="H37" i="6"/>
  <c r="I37" i="6" s="1"/>
  <c r="H9" i="6"/>
  <c r="H10" i="6"/>
  <c r="I10" i="6" s="1"/>
  <c r="H11" i="6"/>
  <c r="H12" i="6"/>
  <c r="H13" i="6"/>
  <c r="I13" i="6" s="1"/>
  <c r="H14" i="6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H23" i="6"/>
  <c r="H24" i="6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8" i="6"/>
  <c r="U36" i="6"/>
  <c r="AH36" i="1" s="1"/>
  <c r="I8" i="6" l="1"/>
  <c r="K506" i="6"/>
  <c r="L506" i="6" s="1"/>
  <c r="K503" i="6"/>
  <c r="L503" i="6" s="1"/>
  <c r="M503" i="6" s="1"/>
  <c r="K508" i="6"/>
  <c r="K502" i="6"/>
  <c r="L502" i="6" s="1"/>
  <c r="K507" i="6"/>
  <c r="L507" i="6" s="1"/>
  <c r="K511" i="6"/>
  <c r="L511" i="6" s="1"/>
  <c r="M511" i="6" s="1"/>
  <c r="K505" i="6"/>
  <c r="L505" i="6" s="1"/>
  <c r="K504" i="6"/>
  <c r="K510" i="6"/>
  <c r="K512" i="6"/>
  <c r="L512" i="6" s="1"/>
  <c r="K509" i="6"/>
  <c r="I11" i="6"/>
  <c r="H36" i="6"/>
  <c r="AH39" i="1"/>
  <c r="AH492" i="1" s="1"/>
  <c r="I24" i="6"/>
  <c r="I23" i="6"/>
  <c r="I22" i="6"/>
  <c r="I12" i="6"/>
  <c r="I14" i="6"/>
  <c r="I9" i="6"/>
  <c r="N511" i="6" l="1"/>
  <c r="O511" i="6" s="1"/>
  <c r="P511" i="6" s="1"/>
  <c r="I36" i="6"/>
  <c r="N503" i="6"/>
  <c r="O503" i="6" s="1"/>
  <c r="M505" i="6"/>
  <c r="L509" i="6"/>
  <c r="M512" i="6"/>
  <c r="L510" i="6"/>
  <c r="L504" i="6"/>
  <c r="M507" i="6"/>
  <c r="M502" i="6"/>
  <c r="N502" i="6" s="1"/>
  <c r="M506" i="6"/>
  <c r="N506" i="6" s="1"/>
  <c r="O506" i="6" s="1"/>
  <c r="L508" i="6"/>
  <c r="M508" i="6" s="1"/>
  <c r="W514" i="6"/>
  <c r="U501" i="6"/>
  <c r="U514" i="6" s="1"/>
  <c r="T501" i="6"/>
  <c r="T514" i="6" s="1"/>
  <c r="J501" i="6"/>
  <c r="J514" i="6" s="1"/>
  <c r="I501" i="6"/>
  <c r="P506" i="6" l="1"/>
  <c r="Q506" i="6" s="1"/>
  <c r="R506" i="6" s="1"/>
  <c r="S506" i="6" s="1"/>
  <c r="P503" i="6"/>
  <c r="Q503" i="6" s="1"/>
  <c r="R503" i="6" s="1"/>
  <c r="N507" i="6"/>
  <c r="O507" i="6" s="1"/>
  <c r="O502" i="6"/>
  <c r="N508" i="6"/>
  <c r="O508" i="6" s="1"/>
  <c r="P508" i="6" s="1"/>
  <c r="M504" i="6"/>
  <c r="N504" i="6" s="1"/>
  <c r="O504" i="6" s="1"/>
  <c r="P504" i="6" s="1"/>
  <c r="K501" i="6"/>
  <c r="K514" i="6" s="1"/>
  <c r="I514" i="6"/>
  <c r="Q511" i="6"/>
  <c r="R511" i="6" s="1"/>
  <c r="S511" i="6" s="1"/>
  <c r="M510" i="6"/>
  <c r="N505" i="6"/>
  <c r="O505" i="6" s="1"/>
  <c r="N512" i="6"/>
  <c r="O512" i="6" s="1"/>
  <c r="P512" i="6" s="1"/>
  <c r="M509" i="6"/>
  <c r="N509" i="6" s="1"/>
  <c r="C63" i="4"/>
  <c r="C13" i="5" s="1"/>
  <c r="C163" i="4"/>
  <c r="C26" i="5" s="1"/>
  <c r="C139" i="4"/>
  <c r="C24" i="5" s="1"/>
  <c r="C182" i="4"/>
  <c r="C27" i="5" s="1"/>
  <c r="C150" i="4"/>
  <c r="C25" i="5" s="1"/>
  <c r="C129" i="4"/>
  <c r="H163" i="4"/>
  <c r="G26" i="5" s="1"/>
  <c r="H182" i="4"/>
  <c r="G27" i="5" s="1"/>
  <c r="H150" i="4"/>
  <c r="G25" i="5" s="1"/>
  <c r="C118" i="4"/>
  <c r="C93" i="4"/>
  <c r="C15" i="5" s="1"/>
  <c r="H129" i="4"/>
  <c r="G23" i="5" s="1"/>
  <c r="H139" i="4"/>
  <c r="G24" i="5" s="1"/>
  <c r="H93" i="4"/>
  <c r="G15" i="5" s="1"/>
  <c r="H118" i="4"/>
  <c r="C76" i="4"/>
  <c r="C14" i="5" s="1"/>
  <c r="H76" i="4"/>
  <c r="G14" i="5" s="1"/>
  <c r="G13" i="5"/>
  <c r="K10" i="4"/>
  <c r="C26" i="4"/>
  <c r="C11" i="5" s="1"/>
  <c r="E12" i="4"/>
  <c r="E11" i="4"/>
  <c r="E10" i="4"/>
  <c r="C38" i="4"/>
  <c r="C12" i="5" s="1"/>
  <c r="K9" i="4"/>
  <c r="J10" i="4"/>
  <c r="H26" i="4"/>
  <c r="G11" i="5" s="1"/>
  <c r="J11" i="4"/>
  <c r="H38" i="4"/>
  <c r="G12" i="5" s="1"/>
  <c r="J6" i="4"/>
  <c r="K8" i="4"/>
  <c r="K11" i="4"/>
  <c r="J12" i="4"/>
  <c r="J7" i="4"/>
  <c r="J9" i="4"/>
  <c r="J8" i="4"/>
  <c r="K12" i="4"/>
  <c r="H13" i="4"/>
  <c r="K7" i="4"/>
  <c r="I13" i="4"/>
  <c r="K6" i="4"/>
  <c r="E9" i="4"/>
  <c r="E7" i="4"/>
  <c r="C13" i="4"/>
  <c r="L501" i="6" l="1"/>
  <c r="L514" i="6" s="1"/>
  <c r="Q504" i="6"/>
  <c r="R504" i="6" s="1"/>
  <c r="S504" i="6" s="1"/>
  <c r="P505" i="6"/>
  <c r="Q505" i="6" s="1"/>
  <c r="P502" i="6"/>
  <c r="S503" i="6"/>
  <c r="N510" i="6"/>
  <c r="O510" i="6" s="1"/>
  <c r="O509" i="6"/>
  <c r="P509" i="6" s="1"/>
  <c r="Q512" i="6"/>
  <c r="R512" i="6" s="1"/>
  <c r="P507" i="6"/>
  <c r="Q507" i="6" s="1"/>
  <c r="R507" i="6" s="1"/>
  <c r="Q508" i="6"/>
  <c r="O13" i="4"/>
  <c r="R13" i="4"/>
  <c r="C98" i="4"/>
  <c r="C10" i="5"/>
  <c r="C22" i="5"/>
  <c r="C186" i="4"/>
  <c r="C23" i="5"/>
  <c r="H98" i="4"/>
  <c r="G10" i="5"/>
  <c r="H186" i="4"/>
  <c r="G22" i="5"/>
  <c r="J13" i="4"/>
  <c r="H10" i="5" s="1"/>
  <c r="K13" i="4"/>
  <c r="I10" i="5" s="1"/>
  <c r="C189" i="4" l="1"/>
  <c r="C101" i="4" s="1"/>
  <c r="M501" i="6"/>
  <c r="N501" i="6" s="1"/>
  <c r="S507" i="6"/>
  <c r="P510" i="6"/>
  <c r="Q502" i="6"/>
  <c r="R502" i="6" s="1"/>
  <c r="S502" i="6" s="1"/>
  <c r="Q509" i="6"/>
  <c r="R509" i="6" s="1"/>
  <c r="R508" i="6"/>
  <c r="S508" i="6" s="1"/>
  <c r="R505" i="6"/>
  <c r="S505" i="6" s="1"/>
  <c r="S512" i="6"/>
  <c r="G32" i="5"/>
  <c r="G17" i="5"/>
  <c r="C29" i="5"/>
  <c r="G29" i="5"/>
  <c r="C17" i="5"/>
  <c r="U489" i="6"/>
  <c r="U490" i="1" s="1"/>
  <c r="T489" i="6"/>
  <c r="T490" i="1" s="1"/>
  <c r="S489" i="6"/>
  <c r="S490" i="1" s="1"/>
  <c r="R489" i="6"/>
  <c r="R490" i="1" s="1"/>
  <c r="Q489" i="6"/>
  <c r="Q490" i="1" s="1"/>
  <c r="P489" i="6"/>
  <c r="P490" i="1" s="1"/>
  <c r="O489" i="6"/>
  <c r="O490" i="1" s="1"/>
  <c r="N489" i="6"/>
  <c r="N490" i="1" s="1"/>
  <c r="M489" i="6"/>
  <c r="M490" i="1" s="1"/>
  <c r="L489" i="6"/>
  <c r="L490" i="1" s="1"/>
  <c r="K489" i="6"/>
  <c r="K490" i="1" s="1"/>
  <c r="J489" i="6"/>
  <c r="U450" i="6"/>
  <c r="U451" i="1" s="1"/>
  <c r="AM450" i="1" s="1"/>
  <c r="T450" i="6"/>
  <c r="T451" i="1" s="1"/>
  <c r="S450" i="6"/>
  <c r="S451" i="1" s="1"/>
  <c r="R450" i="6"/>
  <c r="R451" i="1" s="1"/>
  <c r="Q450" i="6"/>
  <c r="Q451" i="1" s="1"/>
  <c r="P450" i="6"/>
  <c r="P451" i="1" s="1"/>
  <c r="O450" i="6"/>
  <c r="O451" i="1" s="1"/>
  <c r="N450" i="6"/>
  <c r="N451" i="1" s="1"/>
  <c r="M450" i="6"/>
  <c r="M451" i="1" s="1"/>
  <c r="L450" i="6"/>
  <c r="L451" i="1" s="1"/>
  <c r="K450" i="6"/>
  <c r="K451" i="1" s="1"/>
  <c r="J450" i="6"/>
  <c r="U391" i="6"/>
  <c r="U392" i="1" s="1"/>
  <c r="AM391" i="1" s="1"/>
  <c r="T391" i="6"/>
  <c r="T392" i="1" s="1"/>
  <c r="S391" i="6"/>
  <c r="S392" i="1" s="1"/>
  <c r="R391" i="6"/>
  <c r="R392" i="1" s="1"/>
  <c r="Q391" i="6"/>
  <c r="Q392" i="1" s="1"/>
  <c r="P391" i="6"/>
  <c r="P392" i="1" s="1"/>
  <c r="O391" i="6"/>
  <c r="O392" i="1" s="1"/>
  <c r="N391" i="6"/>
  <c r="N392" i="1" s="1"/>
  <c r="M391" i="6"/>
  <c r="M392" i="1" s="1"/>
  <c r="L391" i="6"/>
  <c r="L392" i="1" s="1"/>
  <c r="K391" i="6"/>
  <c r="K392" i="1" s="1"/>
  <c r="J391" i="6"/>
  <c r="U345" i="6"/>
  <c r="U346" i="1" s="1"/>
  <c r="AM345" i="1" s="1"/>
  <c r="T345" i="6"/>
  <c r="T346" i="1" s="1"/>
  <c r="S345" i="6"/>
  <c r="S346" i="1" s="1"/>
  <c r="R345" i="6"/>
  <c r="R346" i="1" s="1"/>
  <c r="Q345" i="6"/>
  <c r="Q346" i="1" s="1"/>
  <c r="P345" i="6"/>
  <c r="P346" i="1" s="1"/>
  <c r="O345" i="6"/>
  <c r="O346" i="1" s="1"/>
  <c r="N345" i="6"/>
  <c r="N346" i="1" s="1"/>
  <c r="M345" i="6"/>
  <c r="M346" i="1" s="1"/>
  <c r="L345" i="6"/>
  <c r="L346" i="1" s="1"/>
  <c r="K345" i="6"/>
  <c r="K346" i="1" s="1"/>
  <c r="J345" i="6"/>
  <c r="U316" i="6"/>
  <c r="U317" i="1" s="1"/>
  <c r="AM316" i="1" s="1"/>
  <c r="T316" i="6"/>
  <c r="T317" i="1" s="1"/>
  <c r="S316" i="6"/>
  <c r="S317" i="1" s="1"/>
  <c r="R316" i="6"/>
  <c r="R317" i="1" s="1"/>
  <c r="Q316" i="6"/>
  <c r="Q317" i="1" s="1"/>
  <c r="P316" i="6"/>
  <c r="P317" i="1" s="1"/>
  <c r="O316" i="6"/>
  <c r="O317" i="1" s="1"/>
  <c r="N316" i="6"/>
  <c r="N317" i="1" s="1"/>
  <c r="M316" i="6"/>
  <c r="M317" i="1" s="1"/>
  <c r="L316" i="6"/>
  <c r="L317" i="1" s="1"/>
  <c r="K316" i="6"/>
  <c r="K317" i="1" s="1"/>
  <c r="J316" i="6"/>
  <c r="U290" i="6"/>
  <c r="U291" i="1" s="1"/>
  <c r="AM290" i="1" s="1"/>
  <c r="T290" i="6"/>
  <c r="T291" i="1" s="1"/>
  <c r="S290" i="6"/>
  <c r="S291" i="1" s="1"/>
  <c r="R290" i="6"/>
  <c r="R291" i="1" s="1"/>
  <c r="Q290" i="6"/>
  <c r="Q291" i="1" s="1"/>
  <c r="P290" i="6"/>
  <c r="P291" i="1" s="1"/>
  <c r="O290" i="6"/>
  <c r="O291" i="1" s="1"/>
  <c r="N290" i="6"/>
  <c r="N291" i="1" s="1"/>
  <c r="M290" i="6"/>
  <c r="M291" i="1" s="1"/>
  <c r="L290" i="6"/>
  <c r="L291" i="1" s="1"/>
  <c r="K290" i="6"/>
  <c r="K291" i="1" s="1"/>
  <c r="J290" i="6"/>
  <c r="U255" i="6"/>
  <c r="U256" i="1" s="1"/>
  <c r="AM255" i="1" s="1"/>
  <c r="T255" i="6"/>
  <c r="T256" i="1" s="1"/>
  <c r="S255" i="6"/>
  <c r="S256" i="1" s="1"/>
  <c r="R255" i="6"/>
  <c r="R256" i="1" s="1"/>
  <c r="Q255" i="6"/>
  <c r="Q256" i="1" s="1"/>
  <c r="P255" i="6"/>
  <c r="P256" i="1" s="1"/>
  <c r="O255" i="6"/>
  <c r="O256" i="1" s="1"/>
  <c r="N255" i="6"/>
  <c r="N256" i="1" s="1"/>
  <c r="M255" i="6"/>
  <c r="M256" i="1" s="1"/>
  <c r="L255" i="6"/>
  <c r="L256" i="1" s="1"/>
  <c r="K255" i="6"/>
  <c r="K256" i="1" s="1"/>
  <c r="J255" i="6"/>
  <c r="T212" i="6"/>
  <c r="T213" i="1" s="1"/>
  <c r="S212" i="6"/>
  <c r="S213" i="1" s="1"/>
  <c r="R212" i="6"/>
  <c r="R213" i="1" s="1"/>
  <c r="Q212" i="6"/>
  <c r="Q213" i="1" s="1"/>
  <c r="P212" i="6"/>
  <c r="P213" i="1" s="1"/>
  <c r="O212" i="6"/>
  <c r="O213" i="1" s="1"/>
  <c r="N212" i="6"/>
  <c r="N213" i="1" s="1"/>
  <c r="M212" i="6"/>
  <c r="M213" i="1" s="1"/>
  <c r="L212" i="6"/>
  <c r="L213" i="1" s="1"/>
  <c r="K212" i="6"/>
  <c r="K213" i="1" s="1"/>
  <c r="J212" i="6"/>
  <c r="U212" i="6"/>
  <c r="U213" i="1" s="1"/>
  <c r="T157" i="6"/>
  <c r="T158" i="1" s="1"/>
  <c r="S157" i="6"/>
  <c r="S158" i="1" s="1"/>
  <c r="R157" i="6"/>
  <c r="R158" i="1" s="1"/>
  <c r="Q157" i="6"/>
  <c r="Q158" i="1" s="1"/>
  <c r="P157" i="6"/>
  <c r="P158" i="1" s="1"/>
  <c r="O157" i="6"/>
  <c r="O158" i="1" s="1"/>
  <c r="N157" i="6"/>
  <c r="N158" i="1" s="1"/>
  <c r="M157" i="6"/>
  <c r="M158" i="1" s="1"/>
  <c r="L157" i="6"/>
  <c r="L158" i="1" s="1"/>
  <c r="K157" i="6"/>
  <c r="K158" i="1" s="1"/>
  <c r="J157" i="6"/>
  <c r="U119" i="6"/>
  <c r="U120" i="1" s="1"/>
  <c r="T119" i="6"/>
  <c r="T120" i="1" s="1"/>
  <c r="S119" i="6"/>
  <c r="S120" i="1" s="1"/>
  <c r="R119" i="6"/>
  <c r="R120" i="1" s="1"/>
  <c r="Q119" i="6"/>
  <c r="Q120" i="1" s="1"/>
  <c r="P119" i="6"/>
  <c r="P120" i="1" s="1"/>
  <c r="O119" i="6"/>
  <c r="O120" i="1" s="1"/>
  <c r="N119" i="6"/>
  <c r="N120" i="1" s="1"/>
  <c r="M119" i="6"/>
  <c r="M120" i="1" s="1"/>
  <c r="L119" i="6"/>
  <c r="L120" i="1" s="1"/>
  <c r="K119" i="6"/>
  <c r="K120" i="1" s="1"/>
  <c r="J119" i="6"/>
  <c r="U82" i="6"/>
  <c r="U82" i="1" s="1"/>
  <c r="T82" i="6"/>
  <c r="T82" i="1" s="1"/>
  <c r="AM81" i="1" s="1"/>
  <c r="S82" i="6"/>
  <c r="S82" i="1" s="1"/>
  <c r="R82" i="6"/>
  <c r="R82" i="1" s="1"/>
  <c r="Q82" i="6"/>
  <c r="Q82" i="1" s="1"/>
  <c r="P82" i="6"/>
  <c r="P82" i="1" s="1"/>
  <c r="O82" i="6"/>
  <c r="O82" i="1" s="1"/>
  <c r="N82" i="6"/>
  <c r="N82" i="1" s="1"/>
  <c r="M82" i="6"/>
  <c r="M82" i="1" s="1"/>
  <c r="L82" i="6"/>
  <c r="L82" i="1" s="1"/>
  <c r="K82" i="6"/>
  <c r="K82" i="1" s="1"/>
  <c r="J82" i="6"/>
  <c r="J82" i="1" s="1"/>
  <c r="U157" i="6"/>
  <c r="U158" i="1" s="1"/>
  <c r="G82" i="6"/>
  <c r="G82" i="1" s="1"/>
  <c r="U39" i="6"/>
  <c r="U40" i="1" s="1"/>
  <c r="T39" i="6"/>
  <c r="T40" i="1" s="1"/>
  <c r="S39" i="6"/>
  <c r="S40" i="1" s="1"/>
  <c r="R39" i="6"/>
  <c r="R40" i="1" s="1"/>
  <c r="Q39" i="6"/>
  <c r="Q40" i="1" s="1"/>
  <c r="P39" i="6"/>
  <c r="P40" i="1" s="1"/>
  <c r="O39" i="6"/>
  <c r="O40" i="1" s="1"/>
  <c r="N39" i="6"/>
  <c r="N40" i="1" s="1"/>
  <c r="M39" i="6"/>
  <c r="M40" i="1" s="1"/>
  <c r="L39" i="6"/>
  <c r="L40" i="1" s="1"/>
  <c r="K39" i="6"/>
  <c r="K40" i="1" s="1"/>
  <c r="J39" i="6"/>
  <c r="W38" i="6"/>
  <c r="W37" i="6"/>
  <c r="W35" i="6"/>
  <c r="W34" i="6"/>
  <c r="W33" i="6"/>
  <c r="W32" i="6"/>
  <c r="W28" i="6"/>
  <c r="W24" i="6"/>
  <c r="W23" i="6"/>
  <c r="W21" i="6"/>
  <c r="W16" i="6"/>
  <c r="W15" i="6"/>
  <c r="W14" i="6"/>
  <c r="W12" i="6"/>
  <c r="W9" i="6"/>
  <c r="Q16" i="8" l="1"/>
  <c r="J291" i="1"/>
  <c r="Q18" i="8"/>
  <c r="J346" i="1"/>
  <c r="Q20" i="8"/>
  <c r="J451" i="1"/>
  <c r="Q12" i="8"/>
  <c r="J120" i="1"/>
  <c r="Q14" i="8"/>
  <c r="J213" i="1"/>
  <c r="AM119" i="1"/>
  <c r="AM212" i="1"/>
  <c r="M514" i="6"/>
  <c r="Q15" i="8"/>
  <c r="J256" i="1"/>
  <c r="Q17" i="8"/>
  <c r="J317" i="1"/>
  <c r="Q19" i="8"/>
  <c r="J392" i="1"/>
  <c r="Q21" i="8"/>
  <c r="J490" i="1"/>
  <c r="Q13" i="8"/>
  <c r="J158" i="1"/>
  <c r="AM489" i="1"/>
  <c r="Q10" i="8"/>
  <c r="J40" i="1"/>
  <c r="AM157" i="1"/>
  <c r="S509" i="6"/>
  <c r="Q510" i="6"/>
  <c r="N514" i="6"/>
  <c r="O501" i="6"/>
  <c r="D15" i="7"/>
  <c r="D17" i="7"/>
  <c r="D19" i="7"/>
  <c r="D11" i="7"/>
  <c r="D13" i="7"/>
  <c r="O13" i="7" s="1"/>
  <c r="H291" i="1"/>
  <c r="H346" i="1"/>
  <c r="D14" i="7"/>
  <c r="D16" i="7"/>
  <c r="O16" i="7" s="1"/>
  <c r="D18" i="7"/>
  <c r="D20" i="7"/>
  <c r="O20" i="7" s="1"/>
  <c r="H392" i="1"/>
  <c r="D12" i="7"/>
  <c r="O12" i="7" s="1"/>
  <c r="K81" i="4"/>
  <c r="J159" i="4"/>
  <c r="J56" i="4"/>
  <c r="J71" i="4"/>
  <c r="K107" i="4"/>
  <c r="J107" i="4"/>
  <c r="K52" i="4"/>
  <c r="J52" i="4"/>
  <c r="J80" i="4"/>
  <c r="K80" i="4"/>
  <c r="J85" i="4"/>
  <c r="K85" i="4"/>
  <c r="K44" i="4"/>
  <c r="J44" i="4"/>
  <c r="J81" i="4"/>
  <c r="K175" i="4"/>
  <c r="J175" i="4"/>
  <c r="J108" i="4"/>
  <c r="K108" i="4"/>
  <c r="K127" i="4"/>
  <c r="J127" i="4"/>
  <c r="J178" i="4"/>
  <c r="K178" i="4"/>
  <c r="K21" i="4"/>
  <c r="J21" i="4"/>
  <c r="C32" i="5"/>
  <c r="W19" i="6"/>
  <c r="W8" i="6"/>
  <c r="W31" i="6"/>
  <c r="H39" i="6"/>
  <c r="J9" i="7" s="1"/>
  <c r="H82" i="6"/>
  <c r="J10" i="7" s="1"/>
  <c r="W17" i="6"/>
  <c r="W10" i="6"/>
  <c r="W26" i="6"/>
  <c r="S491" i="6"/>
  <c r="W11" i="6"/>
  <c r="J491" i="6"/>
  <c r="T491" i="6"/>
  <c r="W22" i="6"/>
  <c r="H391" i="6"/>
  <c r="J18" i="7" s="1"/>
  <c r="H119" i="6"/>
  <c r="J11" i="7" s="1"/>
  <c r="M491" i="6"/>
  <c r="N491" i="6"/>
  <c r="W25" i="6"/>
  <c r="U491" i="6"/>
  <c r="W13" i="6"/>
  <c r="L491" i="6"/>
  <c r="G290" i="6"/>
  <c r="G291" i="1" s="1"/>
  <c r="G316" i="6"/>
  <c r="G317" i="1" s="1"/>
  <c r="G391" i="6"/>
  <c r="G392" i="1" s="1"/>
  <c r="W18" i="6"/>
  <c r="H316" i="6"/>
  <c r="J16" i="7" s="1"/>
  <c r="G212" i="6"/>
  <c r="G213" i="1" s="1"/>
  <c r="Q491" i="6"/>
  <c r="K491" i="6"/>
  <c r="G345" i="6"/>
  <c r="G346" i="1" s="1"/>
  <c r="H489" i="6"/>
  <c r="J20" i="7" s="1"/>
  <c r="W20" i="6"/>
  <c r="W30" i="6"/>
  <c r="H345" i="6"/>
  <c r="J17" i="7" s="1"/>
  <c r="G450" i="6"/>
  <c r="G451" i="1" s="1"/>
  <c r="G39" i="6"/>
  <c r="G40" i="1" s="1"/>
  <c r="W29" i="6"/>
  <c r="W36" i="6"/>
  <c r="R491" i="6"/>
  <c r="H290" i="6"/>
  <c r="J15" i="7" s="1"/>
  <c r="W27" i="6"/>
  <c r="O491" i="6"/>
  <c r="G119" i="6"/>
  <c r="G120" i="1" s="1"/>
  <c r="G157" i="6"/>
  <c r="G158" i="1" s="1"/>
  <c r="G255" i="6"/>
  <c r="G256" i="1" s="1"/>
  <c r="H450" i="6"/>
  <c r="J19" i="7" s="1"/>
  <c r="H157" i="6"/>
  <c r="J12" i="7" s="1"/>
  <c r="G489" i="6"/>
  <c r="G490" i="1" s="1"/>
  <c r="H255" i="6"/>
  <c r="J14" i="7" s="1"/>
  <c r="P491" i="6"/>
  <c r="H451" i="1" l="1"/>
  <c r="H317" i="1"/>
  <c r="P501" i="6"/>
  <c r="P514" i="6" s="1"/>
  <c r="O514" i="6"/>
  <c r="R510" i="6"/>
  <c r="S510" i="6" s="1"/>
  <c r="H213" i="1"/>
  <c r="H256" i="1"/>
  <c r="H40" i="1"/>
  <c r="H158" i="1"/>
  <c r="H120" i="1"/>
  <c r="H490" i="1"/>
  <c r="O14" i="7"/>
  <c r="U14" i="7"/>
  <c r="J28" i="7"/>
  <c r="K18" i="7"/>
  <c r="L18" i="7" s="1"/>
  <c r="AO391" i="1"/>
  <c r="D9" i="7"/>
  <c r="N18" i="7"/>
  <c r="N17" i="7"/>
  <c r="O17" i="7"/>
  <c r="U17" i="7"/>
  <c r="O11" i="7"/>
  <c r="U11" i="7"/>
  <c r="O19" i="7"/>
  <c r="U19" i="7"/>
  <c r="N16" i="7"/>
  <c r="Q16" i="7" s="1"/>
  <c r="N15" i="7"/>
  <c r="N9" i="7"/>
  <c r="O15" i="7"/>
  <c r="D28" i="7"/>
  <c r="N20" i="7"/>
  <c r="Q20" i="7" s="1"/>
  <c r="O18" i="7"/>
  <c r="U18" i="7"/>
  <c r="N13" i="7"/>
  <c r="Q13" i="7" s="1"/>
  <c r="N12" i="7"/>
  <c r="Q12" i="7" s="1"/>
  <c r="N19" i="7"/>
  <c r="N14" i="7"/>
  <c r="K11" i="7"/>
  <c r="L11" i="7" s="1"/>
  <c r="AO119" i="1"/>
  <c r="K19" i="7"/>
  <c r="L19" i="7" s="1"/>
  <c r="AO450" i="1"/>
  <c r="N11" i="7"/>
  <c r="K159" i="4"/>
  <c r="K71" i="4"/>
  <c r="J22" i="4"/>
  <c r="H212" i="6"/>
  <c r="I76" i="4"/>
  <c r="K76" i="4" s="1"/>
  <c r="I14" i="5" s="1"/>
  <c r="K56" i="4"/>
  <c r="I118" i="4"/>
  <c r="K118" i="4" s="1"/>
  <c r="I22" i="5" s="1"/>
  <c r="J20" i="4"/>
  <c r="K20" i="4"/>
  <c r="K51" i="4"/>
  <c r="J51" i="4"/>
  <c r="K83" i="4"/>
  <c r="J83" i="4"/>
  <c r="J91" i="4"/>
  <c r="K91" i="4"/>
  <c r="J124" i="4"/>
  <c r="K124" i="4"/>
  <c r="K174" i="4"/>
  <c r="J174" i="4"/>
  <c r="J69" i="4"/>
  <c r="K69" i="4"/>
  <c r="K122" i="4"/>
  <c r="J122" i="4"/>
  <c r="I129" i="4"/>
  <c r="K129" i="4" s="1"/>
  <c r="I23" i="5" s="1"/>
  <c r="W450" i="6"/>
  <c r="K126" i="4"/>
  <c r="J126" i="4"/>
  <c r="K179" i="4"/>
  <c r="J179" i="4"/>
  <c r="K168" i="4"/>
  <c r="J168" i="4"/>
  <c r="J144" i="4"/>
  <c r="K144" i="4"/>
  <c r="K88" i="4"/>
  <c r="J88" i="4"/>
  <c r="J117" i="4"/>
  <c r="K117" i="4"/>
  <c r="K53" i="4"/>
  <c r="J53" i="4"/>
  <c r="K113" i="4"/>
  <c r="J113" i="4"/>
  <c r="K162" i="4"/>
  <c r="J162" i="4"/>
  <c r="W119" i="6"/>
  <c r="J116" i="4"/>
  <c r="K116" i="4"/>
  <c r="J133" i="4"/>
  <c r="I139" i="4"/>
  <c r="K139" i="4" s="1"/>
  <c r="I24" i="5" s="1"/>
  <c r="K133" i="4"/>
  <c r="J112" i="4"/>
  <c r="K112" i="4"/>
  <c r="K73" i="4"/>
  <c r="J73" i="4"/>
  <c r="K74" i="4"/>
  <c r="J74" i="4"/>
  <c r="J87" i="4"/>
  <c r="K87" i="4"/>
  <c r="K46" i="4"/>
  <c r="J46" i="4"/>
  <c r="K149" i="4"/>
  <c r="J149" i="4"/>
  <c r="J173" i="4"/>
  <c r="K173" i="4"/>
  <c r="I150" i="4"/>
  <c r="K150" i="4" s="1"/>
  <c r="I25" i="5" s="1"/>
  <c r="J143" i="4"/>
  <c r="K143" i="4"/>
  <c r="J110" i="4"/>
  <c r="K110" i="4"/>
  <c r="J58" i="4"/>
  <c r="K58" i="4"/>
  <c r="K172" i="4"/>
  <c r="J172" i="4"/>
  <c r="J86" i="4"/>
  <c r="K86" i="4"/>
  <c r="K22" i="4"/>
  <c r="K72" i="4"/>
  <c r="J72" i="4"/>
  <c r="J115" i="4"/>
  <c r="K115" i="4"/>
  <c r="K114" i="4"/>
  <c r="J114" i="4"/>
  <c r="J146" i="4"/>
  <c r="K146" i="4"/>
  <c r="J60" i="4"/>
  <c r="K60" i="4"/>
  <c r="K177" i="4"/>
  <c r="J177" i="4"/>
  <c r="J82" i="4"/>
  <c r="K82" i="4"/>
  <c r="J19" i="4"/>
  <c r="K19" i="4"/>
  <c r="K23" i="4"/>
  <c r="J23" i="4"/>
  <c r="J136" i="4"/>
  <c r="K136" i="4"/>
  <c r="J90" i="4"/>
  <c r="K90" i="4"/>
  <c r="J147" i="4"/>
  <c r="K147" i="4"/>
  <c r="K161" i="4"/>
  <c r="J161" i="4"/>
  <c r="J50" i="4"/>
  <c r="K50" i="4"/>
  <c r="K145" i="4"/>
  <c r="J145" i="4"/>
  <c r="K68" i="4"/>
  <c r="J68" i="4"/>
  <c r="K24" i="4"/>
  <c r="J24" i="4"/>
  <c r="W82" i="6"/>
  <c r="I163" i="4"/>
  <c r="K163" i="4" s="1"/>
  <c r="I26" i="5" s="1"/>
  <c r="J154" i="4"/>
  <c r="K154" i="4"/>
  <c r="K49" i="4"/>
  <c r="J49" i="4"/>
  <c r="K59" i="4"/>
  <c r="J59" i="4"/>
  <c r="K123" i="4"/>
  <c r="J123" i="4"/>
  <c r="K170" i="4"/>
  <c r="J170" i="4"/>
  <c r="K180" i="4"/>
  <c r="J180" i="4"/>
  <c r="K125" i="4"/>
  <c r="J125" i="4"/>
  <c r="K160" i="4"/>
  <c r="J160" i="4"/>
  <c r="I38" i="4"/>
  <c r="K38" i="4" s="1"/>
  <c r="I12" i="5" s="1"/>
  <c r="K30" i="4"/>
  <c r="J30" i="4"/>
  <c r="K43" i="4"/>
  <c r="J43" i="4"/>
  <c r="J171" i="4"/>
  <c r="K171" i="4"/>
  <c r="K57" i="4"/>
  <c r="J57" i="4"/>
  <c r="K111" i="4"/>
  <c r="J111" i="4"/>
  <c r="K181" i="4"/>
  <c r="J181" i="4"/>
  <c r="K61" i="4"/>
  <c r="J61" i="4"/>
  <c r="J137" i="4"/>
  <c r="K137" i="4"/>
  <c r="K63" i="4"/>
  <c r="I13" i="5" s="1"/>
  <c r="K42" i="4"/>
  <c r="J42" i="4"/>
  <c r="J148" i="4"/>
  <c r="K148" i="4"/>
  <c r="J157" i="4"/>
  <c r="K157" i="4"/>
  <c r="K18" i="4"/>
  <c r="J18" i="4"/>
  <c r="J48" i="4"/>
  <c r="K48" i="4"/>
  <c r="J92" i="4"/>
  <c r="K92" i="4"/>
  <c r="J138" i="4"/>
  <c r="K138" i="4"/>
  <c r="J84" i="4"/>
  <c r="K84" i="4"/>
  <c r="J169" i="4"/>
  <c r="K169" i="4"/>
  <c r="K75" i="4"/>
  <c r="J75" i="4"/>
  <c r="K45" i="4"/>
  <c r="J45" i="4"/>
  <c r="K109" i="4"/>
  <c r="J109" i="4"/>
  <c r="K158" i="4"/>
  <c r="J158" i="4"/>
  <c r="J55" i="4"/>
  <c r="K55" i="4"/>
  <c r="K54" i="4"/>
  <c r="J54" i="4"/>
  <c r="J155" i="4"/>
  <c r="K155" i="4"/>
  <c r="J70" i="4"/>
  <c r="K70" i="4"/>
  <c r="K17" i="4"/>
  <c r="J17" i="4"/>
  <c r="J167" i="4"/>
  <c r="I182" i="4"/>
  <c r="K182" i="4" s="1"/>
  <c r="I27" i="5" s="1"/>
  <c r="K167" i="4"/>
  <c r="J128" i="4"/>
  <c r="K128" i="4"/>
  <c r="I93" i="4"/>
  <c r="K93" i="4" s="1"/>
  <c r="I15" i="5" s="1"/>
  <c r="W391" i="6"/>
  <c r="J156" i="4"/>
  <c r="K156" i="4"/>
  <c r="J134" i="4"/>
  <c r="K134" i="4"/>
  <c r="J89" i="4"/>
  <c r="K89" i="4"/>
  <c r="K176" i="4"/>
  <c r="J176" i="4"/>
  <c r="K135" i="4"/>
  <c r="J135" i="4"/>
  <c r="W316" i="6"/>
  <c r="H491" i="6"/>
  <c r="W157" i="6"/>
  <c r="W290" i="6"/>
  <c r="W345" i="6"/>
  <c r="W489" i="6"/>
  <c r="W255" i="6"/>
  <c r="W39" i="6"/>
  <c r="G491" i="6"/>
  <c r="W212" i="6"/>
  <c r="Q19" i="7" l="1"/>
  <c r="I491" i="6"/>
  <c r="Q501" i="6"/>
  <c r="J26" i="4"/>
  <c r="H11" i="5" s="1"/>
  <c r="J63" i="4"/>
  <c r="H13" i="5" s="1"/>
  <c r="O28" i="7"/>
  <c r="Q11" i="7"/>
  <c r="K13" i="7"/>
  <c r="AO212" i="1"/>
  <c r="AM13" i="8"/>
  <c r="I158" i="1"/>
  <c r="L12" i="3"/>
  <c r="N28" i="7"/>
  <c r="Q15" i="7"/>
  <c r="Q17" i="7"/>
  <c r="AM16" i="8"/>
  <c r="I291" i="1"/>
  <c r="L15" i="3"/>
  <c r="AM18" i="8"/>
  <c r="I346" i="1"/>
  <c r="L17" i="3"/>
  <c r="AM10" i="8"/>
  <c r="I40" i="1"/>
  <c r="L9" i="3"/>
  <c r="I490" i="1"/>
  <c r="L20" i="3"/>
  <c r="K16" i="7"/>
  <c r="L16" i="7" s="1"/>
  <c r="AO316" i="1"/>
  <c r="Q14" i="7"/>
  <c r="AM12" i="8"/>
  <c r="I120" i="1"/>
  <c r="L11" i="3"/>
  <c r="AM15" i="8"/>
  <c r="I256" i="1"/>
  <c r="L14" i="3"/>
  <c r="K9" i="7"/>
  <c r="AO39" i="1"/>
  <c r="K14" i="7"/>
  <c r="L14" i="7" s="1"/>
  <c r="AO255" i="1"/>
  <c r="AM17" i="8"/>
  <c r="I317" i="1"/>
  <c r="L16" i="3"/>
  <c r="Q18" i="7"/>
  <c r="K20" i="7"/>
  <c r="L20" i="7" s="1"/>
  <c r="AO489" i="1"/>
  <c r="AM19" i="8"/>
  <c r="I392" i="1"/>
  <c r="L18" i="3"/>
  <c r="J13" i="7"/>
  <c r="AM20" i="8"/>
  <c r="I451" i="1"/>
  <c r="L19" i="3"/>
  <c r="K12" i="7"/>
  <c r="L12" i="7" s="1"/>
  <c r="AO157" i="1"/>
  <c r="AM14" i="8"/>
  <c r="I213" i="1"/>
  <c r="L13" i="3"/>
  <c r="K15" i="7"/>
  <c r="AO290" i="1"/>
  <c r="K17" i="7"/>
  <c r="L17" i="7" s="1"/>
  <c r="AO345" i="1"/>
  <c r="O9" i="7"/>
  <c r="Q9" i="7" s="1"/>
  <c r="J67" i="4"/>
  <c r="J76" i="4" s="1"/>
  <c r="H14" i="5" s="1"/>
  <c r="I98" i="4"/>
  <c r="K67" i="4"/>
  <c r="O76" i="4" s="1"/>
  <c r="J118" i="4"/>
  <c r="H22" i="5" s="1"/>
  <c r="R118" i="4"/>
  <c r="J93" i="4"/>
  <c r="H15" i="5" s="1"/>
  <c r="O118" i="4"/>
  <c r="J129" i="4"/>
  <c r="H23" i="5" s="1"/>
  <c r="O93" i="4"/>
  <c r="R129" i="4"/>
  <c r="O129" i="4"/>
  <c r="O163" i="4"/>
  <c r="R163" i="4"/>
  <c r="R38" i="4"/>
  <c r="O38" i="4"/>
  <c r="J163" i="4"/>
  <c r="H26" i="5" s="1"/>
  <c r="O139" i="4"/>
  <c r="R139" i="4"/>
  <c r="J150" i="4"/>
  <c r="H25" i="5" s="1"/>
  <c r="R63" i="4"/>
  <c r="O63" i="4"/>
  <c r="R26" i="4"/>
  <c r="O26" i="4"/>
  <c r="J38" i="4"/>
  <c r="H12" i="5" s="1"/>
  <c r="R93" i="4"/>
  <c r="O150" i="4"/>
  <c r="R150" i="4"/>
  <c r="R182" i="4"/>
  <c r="O182" i="4"/>
  <c r="J139" i="4"/>
  <c r="H24" i="5" s="1"/>
  <c r="I186" i="4"/>
  <c r="J182" i="4"/>
  <c r="H27" i="5" s="1"/>
  <c r="H493" i="6"/>
  <c r="W491" i="6"/>
  <c r="I189" i="4" l="1"/>
  <c r="I101" i="4" s="1"/>
  <c r="K101" i="4" s="1"/>
  <c r="R501" i="6"/>
  <c r="R514" i="6" s="1"/>
  <c r="Q514" i="6"/>
  <c r="N9" i="3"/>
  <c r="N15" i="3"/>
  <c r="Q29" i="8"/>
  <c r="N19" i="3"/>
  <c r="K28" i="7"/>
  <c r="L15" i="7"/>
  <c r="N16" i="3"/>
  <c r="N14" i="3"/>
  <c r="L9" i="7"/>
  <c r="L13" i="7"/>
  <c r="J22" i="7"/>
  <c r="J27" i="7"/>
  <c r="N20" i="3"/>
  <c r="N12" i="3"/>
  <c r="Q28" i="7"/>
  <c r="N13" i="3"/>
  <c r="N17" i="3"/>
  <c r="N11" i="3"/>
  <c r="N18" i="3"/>
  <c r="R76" i="4"/>
  <c r="R98" i="4" s="1"/>
  <c r="K26" i="4"/>
  <c r="I11" i="5" s="1"/>
  <c r="R186" i="4"/>
  <c r="O186" i="4"/>
  <c r="J98" i="4"/>
  <c r="K98" i="4"/>
  <c r="I17" i="5" s="1"/>
  <c r="J186" i="4"/>
  <c r="H29" i="5" s="1"/>
  <c r="K186" i="4"/>
  <c r="I29" i="5" s="1"/>
  <c r="O98" i="4"/>
  <c r="AB450" i="1"/>
  <c r="AC450" i="1"/>
  <c r="J189" i="4" l="1"/>
  <c r="J101" i="4" s="1"/>
  <c r="K189" i="4"/>
  <c r="I32" i="5" s="1"/>
  <c r="S501" i="6"/>
  <c r="J30" i="7"/>
  <c r="L28" i="7"/>
  <c r="O189" i="4"/>
  <c r="R189" i="4"/>
  <c r="H17" i="5"/>
  <c r="AB316" i="1"/>
  <c r="AC316" i="1"/>
  <c r="AA316" i="1"/>
  <c r="H36" i="1"/>
  <c r="AJ36" i="1" s="1"/>
  <c r="AL36" i="1" s="1"/>
  <c r="H32" i="5" l="1"/>
  <c r="S514" i="6"/>
  <c r="E8" i="4"/>
  <c r="H461" i="1"/>
  <c r="AJ461" i="1" s="1"/>
  <c r="AL461" i="1" s="1"/>
  <c r="H462" i="1"/>
  <c r="AJ462" i="1" s="1"/>
  <c r="AL462" i="1" s="1"/>
  <c r="H463" i="1"/>
  <c r="AJ463" i="1" s="1"/>
  <c r="AL463" i="1" s="1"/>
  <c r="H464" i="1"/>
  <c r="AJ464" i="1" s="1"/>
  <c r="AL464" i="1" s="1"/>
  <c r="H465" i="1"/>
  <c r="AJ465" i="1" s="1"/>
  <c r="AL465" i="1" s="1"/>
  <c r="H466" i="1"/>
  <c r="H467" i="1"/>
  <c r="AJ467" i="1" s="1"/>
  <c r="AL467" i="1" s="1"/>
  <c r="H468" i="1"/>
  <c r="AJ468" i="1" s="1"/>
  <c r="AL468" i="1" s="1"/>
  <c r="H469" i="1"/>
  <c r="AJ469" i="1" s="1"/>
  <c r="AL469" i="1" s="1"/>
  <c r="H470" i="1"/>
  <c r="AJ470" i="1" s="1"/>
  <c r="AL470" i="1" s="1"/>
  <c r="H471" i="1"/>
  <c r="H472" i="1"/>
  <c r="AJ472" i="1" s="1"/>
  <c r="AL472" i="1" s="1"/>
  <c r="H473" i="1"/>
  <c r="AJ473" i="1" s="1"/>
  <c r="AL473" i="1" s="1"/>
  <c r="H474" i="1"/>
  <c r="H475" i="1"/>
  <c r="H476" i="1"/>
  <c r="H477" i="1"/>
  <c r="AJ477" i="1" s="1"/>
  <c r="AL477" i="1" s="1"/>
  <c r="H478" i="1"/>
  <c r="H479" i="1"/>
  <c r="H480" i="1"/>
  <c r="H481" i="1"/>
  <c r="H482" i="1"/>
  <c r="H483" i="1"/>
  <c r="AJ483" i="1" s="1"/>
  <c r="AL483" i="1" s="1"/>
  <c r="H484" i="1"/>
  <c r="AJ484" i="1" s="1"/>
  <c r="AL484" i="1" s="1"/>
  <c r="H485" i="1"/>
  <c r="AJ485" i="1" s="1"/>
  <c r="AL485" i="1" s="1"/>
  <c r="H486" i="1"/>
  <c r="AJ486" i="1" s="1"/>
  <c r="AL486" i="1" s="1"/>
  <c r="H487" i="1"/>
  <c r="AJ487" i="1" s="1"/>
  <c r="AL487" i="1" s="1"/>
  <c r="H460" i="1"/>
  <c r="H402" i="1"/>
  <c r="AJ402" i="1" s="1"/>
  <c r="AL402" i="1" s="1"/>
  <c r="H403" i="1"/>
  <c r="AJ403" i="1" s="1"/>
  <c r="AL403" i="1" s="1"/>
  <c r="H404" i="1"/>
  <c r="H405" i="1"/>
  <c r="AJ405" i="1" s="1"/>
  <c r="AL405" i="1" s="1"/>
  <c r="H406" i="1"/>
  <c r="AJ406" i="1" s="1"/>
  <c r="AL406" i="1" s="1"/>
  <c r="H407" i="1"/>
  <c r="AJ407" i="1" s="1"/>
  <c r="AL407" i="1" s="1"/>
  <c r="H408" i="1"/>
  <c r="AJ408" i="1" s="1"/>
  <c r="AL408" i="1" s="1"/>
  <c r="H409" i="1"/>
  <c r="AJ409" i="1" s="1"/>
  <c r="AL409" i="1" s="1"/>
  <c r="H410" i="1"/>
  <c r="AJ410" i="1" s="1"/>
  <c r="AL410" i="1" s="1"/>
  <c r="H411" i="1"/>
  <c r="AJ411" i="1" s="1"/>
  <c r="AL411" i="1" s="1"/>
  <c r="H412" i="1"/>
  <c r="AJ412" i="1" s="1"/>
  <c r="AL412" i="1" s="1"/>
  <c r="H413" i="1"/>
  <c r="AJ413" i="1" s="1"/>
  <c r="AL413" i="1" s="1"/>
  <c r="H414" i="1"/>
  <c r="AJ414" i="1" s="1"/>
  <c r="AL414" i="1" s="1"/>
  <c r="H415" i="1"/>
  <c r="AJ415" i="1" s="1"/>
  <c r="AL415" i="1" s="1"/>
  <c r="H416" i="1"/>
  <c r="AJ416" i="1" s="1"/>
  <c r="AL416" i="1" s="1"/>
  <c r="H417" i="1"/>
  <c r="AJ417" i="1" s="1"/>
  <c r="AL417" i="1" s="1"/>
  <c r="H418" i="1"/>
  <c r="AJ418" i="1" s="1"/>
  <c r="AL418" i="1" s="1"/>
  <c r="H419" i="1"/>
  <c r="AJ419" i="1" s="1"/>
  <c r="AL419" i="1" s="1"/>
  <c r="H420" i="1"/>
  <c r="AJ420" i="1" s="1"/>
  <c r="AL420" i="1" s="1"/>
  <c r="H421" i="1"/>
  <c r="AJ421" i="1" s="1"/>
  <c r="AL421" i="1" s="1"/>
  <c r="H422" i="1"/>
  <c r="AJ422" i="1" s="1"/>
  <c r="AL422" i="1" s="1"/>
  <c r="H423" i="1"/>
  <c r="AJ423" i="1" s="1"/>
  <c r="AL423" i="1" s="1"/>
  <c r="H424" i="1"/>
  <c r="AJ424" i="1" s="1"/>
  <c r="AL424" i="1" s="1"/>
  <c r="H425" i="1"/>
  <c r="AJ425" i="1" s="1"/>
  <c r="AL425" i="1" s="1"/>
  <c r="H426" i="1"/>
  <c r="AJ426" i="1" s="1"/>
  <c r="AL426" i="1" s="1"/>
  <c r="H427" i="1"/>
  <c r="AJ427" i="1" s="1"/>
  <c r="AL427" i="1" s="1"/>
  <c r="H428" i="1"/>
  <c r="AJ428" i="1" s="1"/>
  <c r="AL428" i="1" s="1"/>
  <c r="H429" i="1"/>
  <c r="AJ429" i="1" s="1"/>
  <c r="AL429" i="1" s="1"/>
  <c r="H430" i="1"/>
  <c r="AJ430" i="1" s="1"/>
  <c r="AL430" i="1" s="1"/>
  <c r="H431" i="1"/>
  <c r="AJ431" i="1" s="1"/>
  <c r="AL431" i="1" s="1"/>
  <c r="H432" i="1"/>
  <c r="AJ432" i="1" s="1"/>
  <c r="AL432" i="1" s="1"/>
  <c r="H433" i="1"/>
  <c r="AJ433" i="1" s="1"/>
  <c r="AL433" i="1" s="1"/>
  <c r="H434" i="1"/>
  <c r="H435" i="1"/>
  <c r="AJ435" i="1" s="1"/>
  <c r="AL435" i="1" s="1"/>
  <c r="H436" i="1"/>
  <c r="AJ436" i="1" s="1"/>
  <c r="AL436" i="1" s="1"/>
  <c r="H437" i="1"/>
  <c r="AJ437" i="1" s="1"/>
  <c r="AL437" i="1" s="1"/>
  <c r="H438" i="1"/>
  <c r="AJ438" i="1" s="1"/>
  <c r="AL438" i="1" s="1"/>
  <c r="H439" i="1"/>
  <c r="AJ439" i="1" s="1"/>
  <c r="AL439" i="1" s="1"/>
  <c r="H440" i="1"/>
  <c r="AJ440" i="1" s="1"/>
  <c r="AL440" i="1" s="1"/>
  <c r="H441" i="1"/>
  <c r="AJ441" i="1" s="1"/>
  <c r="AL441" i="1" s="1"/>
  <c r="H442" i="1"/>
  <c r="AJ442" i="1" s="1"/>
  <c r="AL442" i="1" s="1"/>
  <c r="H443" i="1"/>
  <c r="AJ443" i="1" s="1"/>
  <c r="AL443" i="1" s="1"/>
  <c r="H444" i="1"/>
  <c r="AJ444" i="1" s="1"/>
  <c r="AL444" i="1" s="1"/>
  <c r="H445" i="1"/>
  <c r="AJ445" i="1" s="1"/>
  <c r="AL445" i="1" s="1"/>
  <c r="H446" i="1"/>
  <c r="AJ446" i="1" s="1"/>
  <c r="AL446" i="1" s="1"/>
  <c r="H447" i="1"/>
  <c r="AJ447" i="1" s="1"/>
  <c r="AL447" i="1" s="1"/>
  <c r="H401" i="1"/>
  <c r="H356" i="1"/>
  <c r="AJ356" i="1" s="1"/>
  <c r="AL356" i="1" s="1"/>
  <c r="H357" i="1"/>
  <c r="AJ357" i="1" s="1"/>
  <c r="AL357" i="1" s="1"/>
  <c r="H358" i="1"/>
  <c r="AJ358" i="1" s="1"/>
  <c r="AL358" i="1" s="1"/>
  <c r="H359" i="1"/>
  <c r="AJ359" i="1" s="1"/>
  <c r="AL359" i="1" s="1"/>
  <c r="H360" i="1"/>
  <c r="AJ360" i="1" s="1"/>
  <c r="AL360" i="1" s="1"/>
  <c r="H361" i="1"/>
  <c r="AJ361" i="1" s="1"/>
  <c r="AL361" i="1" s="1"/>
  <c r="H362" i="1"/>
  <c r="AJ362" i="1" s="1"/>
  <c r="AL362" i="1" s="1"/>
  <c r="H363" i="1"/>
  <c r="AJ363" i="1" s="1"/>
  <c r="AL363" i="1" s="1"/>
  <c r="H364" i="1"/>
  <c r="AJ364" i="1" s="1"/>
  <c r="AL364" i="1" s="1"/>
  <c r="H365" i="1"/>
  <c r="AJ365" i="1" s="1"/>
  <c r="AL365" i="1" s="1"/>
  <c r="H366" i="1"/>
  <c r="AJ366" i="1" s="1"/>
  <c r="AL366" i="1" s="1"/>
  <c r="H367" i="1"/>
  <c r="AJ367" i="1" s="1"/>
  <c r="AL367" i="1" s="1"/>
  <c r="H368" i="1"/>
  <c r="AJ368" i="1" s="1"/>
  <c r="AL368" i="1" s="1"/>
  <c r="H369" i="1"/>
  <c r="AJ369" i="1" s="1"/>
  <c r="AL369" i="1" s="1"/>
  <c r="H370" i="1"/>
  <c r="AJ370" i="1" s="1"/>
  <c r="AL370" i="1" s="1"/>
  <c r="H371" i="1"/>
  <c r="AJ371" i="1" s="1"/>
  <c r="AL371" i="1" s="1"/>
  <c r="H372" i="1"/>
  <c r="H373" i="1"/>
  <c r="AJ373" i="1" s="1"/>
  <c r="AL373" i="1" s="1"/>
  <c r="H374" i="1"/>
  <c r="AJ374" i="1" s="1"/>
  <c r="AL374" i="1" s="1"/>
  <c r="H375" i="1"/>
  <c r="AJ375" i="1" s="1"/>
  <c r="AL375" i="1" s="1"/>
  <c r="H376" i="1"/>
  <c r="AJ376" i="1" s="1"/>
  <c r="AL376" i="1" s="1"/>
  <c r="H377" i="1"/>
  <c r="AJ377" i="1" s="1"/>
  <c r="AL377" i="1" s="1"/>
  <c r="H378" i="1"/>
  <c r="AJ378" i="1" s="1"/>
  <c r="AL378" i="1" s="1"/>
  <c r="H379" i="1"/>
  <c r="AJ379" i="1" s="1"/>
  <c r="AL379" i="1" s="1"/>
  <c r="H380" i="1"/>
  <c r="AJ380" i="1" s="1"/>
  <c r="AL380" i="1" s="1"/>
  <c r="H381" i="1"/>
  <c r="AJ381" i="1" s="1"/>
  <c r="AL381" i="1" s="1"/>
  <c r="H382" i="1"/>
  <c r="AJ382" i="1" s="1"/>
  <c r="AL382" i="1" s="1"/>
  <c r="H383" i="1"/>
  <c r="AJ383" i="1" s="1"/>
  <c r="AL383" i="1" s="1"/>
  <c r="H384" i="1"/>
  <c r="AJ384" i="1" s="1"/>
  <c r="AL384" i="1" s="1"/>
  <c r="H385" i="1"/>
  <c r="AJ385" i="1" s="1"/>
  <c r="AL385" i="1" s="1"/>
  <c r="H386" i="1"/>
  <c r="AJ386" i="1" s="1"/>
  <c r="AL386" i="1" s="1"/>
  <c r="H387" i="1"/>
  <c r="AJ387" i="1" s="1"/>
  <c r="AL387" i="1" s="1"/>
  <c r="H388" i="1"/>
  <c r="AJ388" i="1" s="1"/>
  <c r="AL388" i="1" s="1"/>
  <c r="H389" i="1"/>
  <c r="AJ389" i="1" s="1"/>
  <c r="AL389" i="1" s="1"/>
  <c r="H355" i="1"/>
  <c r="H327" i="1"/>
  <c r="AJ327" i="1" s="1"/>
  <c r="AL327" i="1" s="1"/>
  <c r="H328" i="1"/>
  <c r="AJ328" i="1" s="1"/>
  <c r="AL328" i="1" s="1"/>
  <c r="H329" i="1"/>
  <c r="AJ329" i="1" s="1"/>
  <c r="AL329" i="1" s="1"/>
  <c r="H330" i="1"/>
  <c r="AJ330" i="1" s="1"/>
  <c r="AL330" i="1" s="1"/>
  <c r="H331" i="1"/>
  <c r="H332" i="1"/>
  <c r="AJ332" i="1" s="1"/>
  <c r="AL332" i="1" s="1"/>
  <c r="H333" i="1"/>
  <c r="AJ333" i="1" s="1"/>
  <c r="AL333" i="1" s="1"/>
  <c r="H334" i="1"/>
  <c r="AJ334" i="1" s="1"/>
  <c r="AL334" i="1" s="1"/>
  <c r="H335" i="1"/>
  <c r="AJ335" i="1" s="1"/>
  <c r="AL335" i="1" s="1"/>
  <c r="H336" i="1"/>
  <c r="AJ336" i="1" s="1"/>
  <c r="AL336" i="1" s="1"/>
  <c r="H337" i="1"/>
  <c r="AJ337" i="1" s="1"/>
  <c r="AL337" i="1" s="1"/>
  <c r="H338" i="1"/>
  <c r="AJ338" i="1" s="1"/>
  <c r="AL338" i="1" s="1"/>
  <c r="H339" i="1"/>
  <c r="AJ339" i="1" s="1"/>
  <c r="AL339" i="1" s="1"/>
  <c r="H340" i="1"/>
  <c r="H341" i="1"/>
  <c r="AJ341" i="1" s="1"/>
  <c r="AL341" i="1" s="1"/>
  <c r="H342" i="1"/>
  <c r="AJ342" i="1" s="1"/>
  <c r="AL342" i="1" s="1"/>
  <c r="H343" i="1"/>
  <c r="H326" i="1"/>
  <c r="H301" i="1"/>
  <c r="H302" i="1"/>
  <c r="AJ302" i="1" s="1"/>
  <c r="AL302" i="1" s="1"/>
  <c r="H303" i="1"/>
  <c r="AJ303" i="1" s="1"/>
  <c r="AL303" i="1" s="1"/>
  <c r="H304" i="1"/>
  <c r="AJ304" i="1" s="1"/>
  <c r="AL304" i="1" s="1"/>
  <c r="H305" i="1"/>
  <c r="AJ305" i="1" s="1"/>
  <c r="AL305" i="1" s="1"/>
  <c r="H306" i="1"/>
  <c r="AJ306" i="1" s="1"/>
  <c r="AL306" i="1" s="1"/>
  <c r="H307" i="1"/>
  <c r="AJ307" i="1" s="1"/>
  <c r="AL307" i="1" s="1"/>
  <c r="H308" i="1"/>
  <c r="AJ308" i="1" s="1"/>
  <c r="AL308" i="1" s="1"/>
  <c r="H309" i="1"/>
  <c r="H310" i="1"/>
  <c r="AJ310" i="1" s="1"/>
  <c r="AL310" i="1" s="1"/>
  <c r="H311" i="1"/>
  <c r="AJ311" i="1" s="1"/>
  <c r="AL311" i="1" s="1"/>
  <c r="H312" i="1"/>
  <c r="AJ312" i="1" s="1"/>
  <c r="AL312" i="1" s="1"/>
  <c r="H313" i="1"/>
  <c r="AJ313" i="1" s="1"/>
  <c r="AL313" i="1" s="1"/>
  <c r="H314" i="1"/>
  <c r="H300" i="1"/>
  <c r="H266" i="1"/>
  <c r="H267" i="1"/>
  <c r="AJ267" i="1" s="1"/>
  <c r="AL267" i="1" s="1"/>
  <c r="H268" i="1"/>
  <c r="AJ268" i="1" s="1"/>
  <c r="AL268" i="1" s="1"/>
  <c r="H269" i="1"/>
  <c r="AJ269" i="1" s="1"/>
  <c r="AL269" i="1" s="1"/>
  <c r="H270" i="1"/>
  <c r="AJ270" i="1" s="1"/>
  <c r="AL270" i="1" s="1"/>
  <c r="H271" i="1"/>
  <c r="AJ271" i="1" s="1"/>
  <c r="AL271" i="1" s="1"/>
  <c r="H272" i="1"/>
  <c r="AJ272" i="1" s="1"/>
  <c r="AL272" i="1" s="1"/>
  <c r="H273" i="1"/>
  <c r="AJ273" i="1" s="1"/>
  <c r="AL273" i="1" s="1"/>
  <c r="H274" i="1"/>
  <c r="H275" i="1"/>
  <c r="AJ275" i="1" s="1"/>
  <c r="AL275" i="1" s="1"/>
  <c r="H276" i="1"/>
  <c r="AJ276" i="1" s="1"/>
  <c r="AL276" i="1" s="1"/>
  <c r="H277" i="1"/>
  <c r="AJ277" i="1" s="1"/>
  <c r="AL277" i="1" s="1"/>
  <c r="H278" i="1"/>
  <c r="AJ278" i="1" s="1"/>
  <c r="AL278" i="1" s="1"/>
  <c r="H279" i="1"/>
  <c r="AJ279" i="1" s="1"/>
  <c r="AL279" i="1" s="1"/>
  <c r="H280" i="1"/>
  <c r="AJ280" i="1" s="1"/>
  <c r="AL280" i="1" s="1"/>
  <c r="H281" i="1"/>
  <c r="H282" i="1"/>
  <c r="H283" i="1"/>
  <c r="H284" i="1"/>
  <c r="H285" i="1"/>
  <c r="AJ285" i="1" s="1"/>
  <c r="AL285" i="1" s="1"/>
  <c r="H286" i="1"/>
  <c r="AJ286" i="1" s="1"/>
  <c r="AL286" i="1" s="1"/>
  <c r="H287" i="1"/>
  <c r="H288" i="1"/>
  <c r="AJ288" i="1" s="1"/>
  <c r="AL288" i="1" s="1"/>
  <c r="H265" i="1"/>
  <c r="H223" i="1"/>
  <c r="AJ223" i="1" s="1"/>
  <c r="AL223" i="1" s="1"/>
  <c r="H224" i="1"/>
  <c r="H225" i="1"/>
  <c r="AJ225" i="1" s="1"/>
  <c r="AL225" i="1" s="1"/>
  <c r="H226" i="1"/>
  <c r="AJ226" i="1" s="1"/>
  <c r="AL226" i="1" s="1"/>
  <c r="H227" i="1"/>
  <c r="AJ227" i="1" s="1"/>
  <c r="AL227" i="1" s="1"/>
  <c r="H228" i="1"/>
  <c r="AJ228" i="1" s="1"/>
  <c r="AL228" i="1" s="1"/>
  <c r="H229" i="1"/>
  <c r="AJ229" i="1" s="1"/>
  <c r="AL229" i="1" s="1"/>
  <c r="H230" i="1"/>
  <c r="H231" i="1"/>
  <c r="AJ231" i="1" s="1"/>
  <c r="AL231" i="1" s="1"/>
  <c r="H232" i="1"/>
  <c r="AJ232" i="1" s="1"/>
  <c r="AL232" i="1" s="1"/>
  <c r="H233" i="1"/>
  <c r="AJ233" i="1" s="1"/>
  <c r="AL233" i="1" s="1"/>
  <c r="H234" i="1"/>
  <c r="AJ234" i="1" s="1"/>
  <c r="AL234" i="1" s="1"/>
  <c r="H235" i="1"/>
  <c r="AJ235" i="1" s="1"/>
  <c r="AL235" i="1" s="1"/>
  <c r="H236" i="1"/>
  <c r="AJ236" i="1" s="1"/>
  <c r="AL236" i="1" s="1"/>
  <c r="H237" i="1"/>
  <c r="H238" i="1"/>
  <c r="H239" i="1"/>
  <c r="AJ239" i="1" s="1"/>
  <c r="AL239" i="1" s="1"/>
  <c r="H240" i="1"/>
  <c r="AJ240" i="1" s="1"/>
  <c r="AL240" i="1" s="1"/>
  <c r="H241" i="1"/>
  <c r="H242" i="1"/>
  <c r="AJ242" i="1" s="1"/>
  <c r="AL242" i="1" s="1"/>
  <c r="H243" i="1"/>
  <c r="AJ243" i="1" s="1"/>
  <c r="AL243" i="1" s="1"/>
  <c r="H244" i="1"/>
  <c r="AJ244" i="1" s="1"/>
  <c r="AL244" i="1" s="1"/>
  <c r="H245" i="1"/>
  <c r="AJ245" i="1" s="1"/>
  <c r="AL245" i="1" s="1"/>
  <c r="H246" i="1"/>
  <c r="AJ246" i="1" s="1"/>
  <c r="AL246" i="1" s="1"/>
  <c r="H247" i="1"/>
  <c r="AJ247" i="1" s="1"/>
  <c r="AL247" i="1" s="1"/>
  <c r="H248" i="1"/>
  <c r="AJ248" i="1" s="1"/>
  <c r="AL248" i="1" s="1"/>
  <c r="H249" i="1"/>
  <c r="AJ249" i="1" s="1"/>
  <c r="AL249" i="1" s="1"/>
  <c r="H250" i="1"/>
  <c r="AJ250" i="1" s="1"/>
  <c r="AL250" i="1" s="1"/>
  <c r="H251" i="1"/>
  <c r="AJ251" i="1" s="1"/>
  <c r="AL251" i="1" s="1"/>
  <c r="H252" i="1"/>
  <c r="AJ252" i="1" s="1"/>
  <c r="AL252" i="1" s="1"/>
  <c r="H222" i="1"/>
  <c r="H168" i="1"/>
  <c r="AJ168" i="1" s="1"/>
  <c r="AL168" i="1" s="1"/>
  <c r="H169" i="1"/>
  <c r="AJ169" i="1" s="1"/>
  <c r="AL169" i="1" s="1"/>
  <c r="H170" i="1"/>
  <c r="AJ170" i="1" s="1"/>
  <c r="AL170" i="1" s="1"/>
  <c r="H171" i="1"/>
  <c r="AJ171" i="1" s="1"/>
  <c r="AL171" i="1" s="1"/>
  <c r="H172" i="1"/>
  <c r="AJ172" i="1" s="1"/>
  <c r="AL172" i="1" s="1"/>
  <c r="H173" i="1"/>
  <c r="AJ173" i="1" s="1"/>
  <c r="AL173" i="1" s="1"/>
  <c r="H174" i="1"/>
  <c r="AJ174" i="1" s="1"/>
  <c r="AL174" i="1" s="1"/>
  <c r="H175" i="1"/>
  <c r="AJ175" i="1" s="1"/>
  <c r="AL175" i="1" s="1"/>
  <c r="H176" i="1"/>
  <c r="AJ176" i="1" s="1"/>
  <c r="AL176" i="1" s="1"/>
  <c r="H177" i="1"/>
  <c r="AJ177" i="1" s="1"/>
  <c r="AL177" i="1" s="1"/>
  <c r="H178" i="1"/>
  <c r="AJ178" i="1" s="1"/>
  <c r="AL178" i="1" s="1"/>
  <c r="H179" i="1"/>
  <c r="AJ179" i="1" s="1"/>
  <c r="AL179" i="1" s="1"/>
  <c r="H180" i="1"/>
  <c r="AJ180" i="1" s="1"/>
  <c r="AL180" i="1" s="1"/>
  <c r="H181" i="1"/>
  <c r="AJ181" i="1" s="1"/>
  <c r="AL181" i="1" s="1"/>
  <c r="H182" i="1"/>
  <c r="AJ182" i="1" s="1"/>
  <c r="AL182" i="1" s="1"/>
  <c r="H183" i="1"/>
  <c r="AJ183" i="1" s="1"/>
  <c r="AL183" i="1" s="1"/>
  <c r="H184" i="1"/>
  <c r="AJ184" i="1" s="1"/>
  <c r="AL184" i="1" s="1"/>
  <c r="H185" i="1"/>
  <c r="AJ185" i="1" s="1"/>
  <c r="AL185" i="1" s="1"/>
  <c r="H186" i="1"/>
  <c r="AJ186" i="1" s="1"/>
  <c r="AL186" i="1" s="1"/>
  <c r="H187" i="1"/>
  <c r="AJ187" i="1" s="1"/>
  <c r="AL187" i="1" s="1"/>
  <c r="H188" i="1"/>
  <c r="AJ188" i="1" s="1"/>
  <c r="AL188" i="1" s="1"/>
  <c r="H189" i="1"/>
  <c r="H190" i="1"/>
  <c r="AJ190" i="1" s="1"/>
  <c r="AL190" i="1" s="1"/>
  <c r="H191" i="1"/>
  <c r="AJ191" i="1" s="1"/>
  <c r="AL191" i="1" s="1"/>
  <c r="H192" i="1"/>
  <c r="AJ192" i="1" s="1"/>
  <c r="AL192" i="1" s="1"/>
  <c r="H193" i="1"/>
  <c r="AJ193" i="1" s="1"/>
  <c r="AL193" i="1" s="1"/>
  <c r="H194" i="1"/>
  <c r="AJ194" i="1" s="1"/>
  <c r="AL194" i="1" s="1"/>
  <c r="H195" i="1"/>
  <c r="AJ195" i="1" s="1"/>
  <c r="AL195" i="1" s="1"/>
  <c r="H196" i="1"/>
  <c r="AJ196" i="1" s="1"/>
  <c r="AL196" i="1" s="1"/>
  <c r="H197" i="1"/>
  <c r="AJ197" i="1" s="1"/>
  <c r="AL197" i="1" s="1"/>
  <c r="H198" i="1"/>
  <c r="AJ198" i="1" s="1"/>
  <c r="AL198" i="1" s="1"/>
  <c r="H199" i="1"/>
  <c r="H200" i="1"/>
  <c r="AJ200" i="1" s="1"/>
  <c r="AL200" i="1" s="1"/>
  <c r="H201" i="1"/>
  <c r="AJ201" i="1" s="1"/>
  <c r="AL201" i="1" s="1"/>
  <c r="H202" i="1"/>
  <c r="AJ202" i="1" s="1"/>
  <c r="AL202" i="1" s="1"/>
  <c r="H203" i="1"/>
  <c r="AJ203" i="1" s="1"/>
  <c r="AL203" i="1" s="1"/>
  <c r="H204" i="1"/>
  <c r="AJ204" i="1" s="1"/>
  <c r="AL204" i="1" s="1"/>
  <c r="H205" i="1"/>
  <c r="AJ205" i="1" s="1"/>
  <c r="AL205" i="1" s="1"/>
  <c r="H206" i="1"/>
  <c r="AJ206" i="1" s="1"/>
  <c r="AL206" i="1" s="1"/>
  <c r="H207" i="1"/>
  <c r="AJ207" i="1" s="1"/>
  <c r="AL207" i="1" s="1"/>
  <c r="H208" i="1"/>
  <c r="AJ208" i="1" s="1"/>
  <c r="AL208" i="1" s="1"/>
  <c r="H209" i="1"/>
  <c r="AJ209" i="1" s="1"/>
  <c r="AL209" i="1" s="1"/>
  <c r="H210" i="1"/>
  <c r="AJ210" i="1" s="1"/>
  <c r="AL210" i="1" s="1"/>
  <c r="H167" i="1"/>
  <c r="G157" i="1"/>
  <c r="G12" i="7" s="1"/>
  <c r="H130" i="1"/>
  <c r="H131" i="1"/>
  <c r="H132" i="1"/>
  <c r="H133" i="1"/>
  <c r="AJ133" i="1" s="1"/>
  <c r="AL133" i="1" s="1"/>
  <c r="H134" i="1"/>
  <c r="H136" i="1"/>
  <c r="H137" i="1"/>
  <c r="H138" i="1"/>
  <c r="H140" i="1"/>
  <c r="AJ140" i="1" s="1"/>
  <c r="AL140" i="1" s="1"/>
  <c r="H141" i="1"/>
  <c r="H142" i="1"/>
  <c r="H143" i="1"/>
  <c r="AJ143" i="1" s="1"/>
  <c r="AL143" i="1" s="1"/>
  <c r="H144" i="1"/>
  <c r="H145" i="1"/>
  <c r="AJ145" i="1" s="1"/>
  <c r="AL145" i="1" s="1"/>
  <c r="H146" i="1"/>
  <c r="AJ146" i="1" s="1"/>
  <c r="AL146" i="1" s="1"/>
  <c r="H147" i="1"/>
  <c r="H148" i="1"/>
  <c r="H149" i="1"/>
  <c r="AJ149" i="1" s="1"/>
  <c r="AL149" i="1" s="1"/>
  <c r="H150" i="1"/>
  <c r="AJ150" i="1" s="1"/>
  <c r="AL150" i="1" s="1"/>
  <c r="H151" i="1"/>
  <c r="H152" i="1"/>
  <c r="H153" i="1"/>
  <c r="AJ153" i="1" s="1"/>
  <c r="AL153" i="1" s="1"/>
  <c r="H154" i="1"/>
  <c r="H155" i="1"/>
  <c r="H129" i="1"/>
  <c r="H92" i="1"/>
  <c r="H93" i="1"/>
  <c r="AJ93" i="1" s="1"/>
  <c r="AL93" i="1" s="1"/>
  <c r="H94" i="1"/>
  <c r="AJ94" i="1" s="1"/>
  <c r="AL94" i="1" s="1"/>
  <c r="H95" i="1"/>
  <c r="AJ95" i="1" s="1"/>
  <c r="AL95" i="1" s="1"/>
  <c r="H96" i="1"/>
  <c r="AJ96" i="1" s="1"/>
  <c r="AL96" i="1" s="1"/>
  <c r="H97" i="1"/>
  <c r="AJ97" i="1" s="1"/>
  <c r="AL97" i="1" s="1"/>
  <c r="H98" i="1"/>
  <c r="AJ98" i="1" s="1"/>
  <c r="AL98" i="1" s="1"/>
  <c r="H99" i="1"/>
  <c r="AJ99" i="1" s="1"/>
  <c r="AL99" i="1" s="1"/>
  <c r="H100" i="1"/>
  <c r="AJ100" i="1" s="1"/>
  <c r="AL100" i="1" s="1"/>
  <c r="H101" i="1"/>
  <c r="AJ101" i="1" s="1"/>
  <c r="AL101" i="1" s="1"/>
  <c r="H102" i="1"/>
  <c r="AJ102" i="1" s="1"/>
  <c r="AL102" i="1" s="1"/>
  <c r="H103" i="1"/>
  <c r="AJ103" i="1" s="1"/>
  <c r="AL103" i="1" s="1"/>
  <c r="H104" i="1"/>
  <c r="AJ104" i="1" s="1"/>
  <c r="AL104" i="1" s="1"/>
  <c r="H105" i="1"/>
  <c r="AJ105" i="1" s="1"/>
  <c r="AL105" i="1" s="1"/>
  <c r="H106" i="1"/>
  <c r="AJ106" i="1" s="1"/>
  <c r="AL106" i="1" s="1"/>
  <c r="H107" i="1"/>
  <c r="AJ107" i="1" s="1"/>
  <c r="AL107" i="1" s="1"/>
  <c r="H108" i="1"/>
  <c r="AJ108" i="1" s="1"/>
  <c r="AL108" i="1" s="1"/>
  <c r="H109" i="1"/>
  <c r="AJ109" i="1" s="1"/>
  <c r="AL109" i="1" s="1"/>
  <c r="H110" i="1"/>
  <c r="AJ110" i="1" s="1"/>
  <c r="AL110" i="1" s="1"/>
  <c r="H111" i="1"/>
  <c r="AJ111" i="1" s="1"/>
  <c r="AL111" i="1" s="1"/>
  <c r="H112" i="1"/>
  <c r="AJ112" i="1" s="1"/>
  <c r="AL112" i="1" s="1"/>
  <c r="H113" i="1"/>
  <c r="AJ113" i="1" s="1"/>
  <c r="AL113" i="1" s="1"/>
  <c r="H114" i="1"/>
  <c r="AJ114" i="1" s="1"/>
  <c r="AL114" i="1" s="1"/>
  <c r="H115" i="1"/>
  <c r="AJ115" i="1" s="1"/>
  <c r="AL115" i="1" s="1"/>
  <c r="H116" i="1"/>
  <c r="AJ116" i="1" s="1"/>
  <c r="AL116" i="1" s="1"/>
  <c r="H117" i="1"/>
  <c r="AJ117" i="1" s="1"/>
  <c r="AL117" i="1" s="1"/>
  <c r="H91" i="1"/>
  <c r="H50" i="1"/>
  <c r="AJ50" i="1" s="1"/>
  <c r="AL50" i="1" s="1"/>
  <c r="H51" i="1"/>
  <c r="AJ51" i="1" s="1"/>
  <c r="AL51" i="1" s="1"/>
  <c r="H52" i="1"/>
  <c r="AJ52" i="1" s="1"/>
  <c r="AL52" i="1" s="1"/>
  <c r="H53" i="1"/>
  <c r="AJ53" i="1" s="1"/>
  <c r="AL53" i="1" s="1"/>
  <c r="H54" i="1"/>
  <c r="AJ54" i="1" s="1"/>
  <c r="AL54" i="1" s="1"/>
  <c r="H55" i="1"/>
  <c r="AJ55" i="1" s="1"/>
  <c r="AL55" i="1" s="1"/>
  <c r="H56" i="1"/>
  <c r="AJ56" i="1" s="1"/>
  <c r="AL56" i="1" s="1"/>
  <c r="H57" i="1"/>
  <c r="AJ57" i="1" s="1"/>
  <c r="AL57" i="1" s="1"/>
  <c r="H58" i="1"/>
  <c r="AJ58" i="1" s="1"/>
  <c r="AL58" i="1" s="1"/>
  <c r="H59" i="1"/>
  <c r="AJ59" i="1" s="1"/>
  <c r="AL59" i="1" s="1"/>
  <c r="H60" i="1"/>
  <c r="AJ60" i="1" s="1"/>
  <c r="AL60" i="1" s="1"/>
  <c r="H61" i="1"/>
  <c r="AJ61" i="1" s="1"/>
  <c r="AL61" i="1" s="1"/>
  <c r="H62" i="1"/>
  <c r="AJ62" i="1" s="1"/>
  <c r="AL62" i="1" s="1"/>
  <c r="H63" i="1"/>
  <c r="AJ63" i="1" s="1"/>
  <c r="AL63" i="1" s="1"/>
  <c r="H64" i="1"/>
  <c r="AJ64" i="1" s="1"/>
  <c r="AL64" i="1" s="1"/>
  <c r="H65" i="1"/>
  <c r="H66" i="1"/>
  <c r="AJ66" i="1" s="1"/>
  <c r="AL66" i="1" s="1"/>
  <c r="H67" i="1"/>
  <c r="AJ67" i="1" s="1"/>
  <c r="AL67" i="1" s="1"/>
  <c r="H68" i="1"/>
  <c r="AJ68" i="1" s="1"/>
  <c r="AL68" i="1" s="1"/>
  <c r="H69" i="1"/>
  <c r="AJ69" i="1" s="1"/>
  <c r="AL69" i="1" s="1"/>
  <c r="H70" i="1"/>
  <c r="AJ70" i="1" s="1"/>
  <c r="AL70" i="1" s="1"/>
  <c r="H71" i="1"/>
  <c r="AJ71" i="1" s="1"/>
  <c r="AL71" i="1" s="1"/>
  <c r="H72" i="1"/>
  <c r="AJ72" i="1" s="1"/>
  <c r="AL72" i="1" s="1"/>
  <c r="H73" i="1"/>
  <c r="AJ73" i="1" s="1"/>
  <c r="AL73" i="1" s="1"/>
  <c r="H74" i="1"/>
  <c r="AJ74" i="1" s="1"/>
  <c r="AL74" i="1" s="1"/>
  <c r="H75" i="1"/>
  <c r="AJ75" i="1" s="1"/>
  <c r="AL75" i="1" s="1"/>
  <c r="H76" i="1"/>
  <c r="AJ76" i="1" s="1"/>
  <c r="AL76" i="1" s="1"/>
  <c r="H77" i="1"/>
  <c r="AJ77" i="1" s="1"/>
  <c r="AL77" i="1" s="1"/>
  <c r="H78" i="1"/>
  <c r="AJ78" i="1" s="1"/>
  <c r="AL78" i="1" s="1"/>
  <c r="H79" i="1"/>
  <c r="AJ79" i="1" s="1"/>
  <c r="AL79" i="1" s="1"/>
  <c r="H49" i="1"/>
  <c r="H8" i="1"/>
  <c r="G502" i="1" s="1"/>
  <c r="AJ155" i="1" l="1"/>
  <c r="AL155" i="1" s="1"/>
  <c r="G509" i="1"/>
  <c r="G510" i="1"/>
  <c r="AJ404" i="1"/>
  <c r="AL404" i="1" s="1"/>
  <c r="G512" i="1"/>
  <c r="AJ372" i="1"/>
  <c r="AL372" i="1" s="1"/>
  <c r="G511" i="1"/>
  <c r="AJ266" i="1"/>
  <c r="AL266" i="1" s="1"/>
  <c r="G508" i="1"/>
  <c r="AJ230" i="1"/>
  <c r="AL230" i="1" s="1"/>
  <c r="AJ199" i="1"/>
  <c r="AL199" i="1" s="1"/>
  <c r="G506" i="1"/>
  <c r="AJ92" i="1"/>
  <c r="AL92" i="1" s="1"/>
  <c r="G504" i="1"/>
  <c r="AJ65" i="1"/>
  <c r="AL65" i="1" s="1"/>
  <c r="G503" i="1"/>
  <c r="G513" i="1"/>
  <c r="AJ355" i="1"/>
  <c r="AL355" i="1" s="1"/>
  <c r="AJ326" i="1"/>
  <c r="AL326" i="1" s="1"/>
  <c r="AJ401" i="1"/>
  <c r="AL401" i="1" s="1"/>
  <c r="AJ300" i="1"/>
  <c r="AL300" i="1" s="1"/>
  <c r="AJ167" i="1"/>
  <c r="AL167" i="1" s="1"/>
  <c r="AJ91" i="1"/>
  <c r="AL91" i="1" s="1"/>
  <c r="F136" i="4"/>
  <c r="AJ343" i="1"/>
  <c r="AL343" i="1" s="1"/>
  <c r="E134" i="4"/>
  <c r="AJ331" i="1"/>
  <c r="AL331" i="1" s="1"/>
  <c r="E138" i="4"/>
  <c r="AJ340" i="1"/>
  <c r="AL340" i="1" s="1"/>
  <c r="E128" i="4"/>
  <c r="AJ309" i="1"/>
  <c r="AL309" i="1" s="1"/>
  <c r="E122" i="4"/>
  <c r="AJ301" i="1"/>
  <c r="AL301" i="1" s="1"/>
  <c r="E127" i="4"/>
  <c r="AJ314" i="1"/>
  <c r="AL314" i="1" s="1"/>
  <c r="F113" i="4"/>
  <c r="AJ287" i="1"/>
  <c r="AL287" i="1" s="1"/>
  <c r="F116" i="4"/>
  <c r="AJ284" i="1"/>
  <c r="AL284" i="1" s="1"/>
  <c r="E109" i="4"/>
  <c r="AJ274" i="1"/>
  <c r="AL274" i="1" s="1"/>
  <c r="F114" i="4"/>
  <c r="AJ282" i="1"/>
  <c r="AL282" i="1" s="1"/>
  <c r="AJ281" i="1"/>
  <c r="AL281" i="1" s="1"/>
  <c r="E115" i="4"/>
  <c r="AJ283" i="1"/>
  <c r="AL283" i="1" s="1"/>
  <c r="E107" i="4"/>
  <c r="AJ265" i="1"/>
  <c r="AL265" i="1" s="1"/>
  <c r="F168" i="4"/>
  <c r="AJ460" i="1"/>
  <c r="AL460" i="1" s="1"/>
  <c r="E176" i="4"/>
  <c r="AJ478" i="1"/>
  <c r="AL478" i="1" s="1"/>
  <c r="E174" i="4"/>
  <c r="AJ476" i="1"/>
  <c r="AL476" i="1" s="1"/>
  <c r="E171" i="4"/>
  <c r="AJ466" i="1"/>
  <c r="AL466" i="1" s="1"/>
  <c r="F167" i="4"/>
  <c r="AJ475" i="1"/>
  <c r="AL475" i="1" s="1"/>
  <c r="F173" i="4"/>
  <c r="AJ474" i="1"/>
  <c r="AL474" i="1" s="1"/>
  <c r="E180" i="4"/>
  <c r="AJ482" i="1"/>
  <c r="AL482" i="1" s="1"/>
  <c r="E179" i="4"/>
  <c r="AJ481" i="1"/>
  <c r="AL481" i="1" s="1"/>
  <c r="F172" i="4"/>
  <c r="AJ471" i="1"/>
  <c r="AL471" i="1" s="1"/>
  <c r="F178" i="4"/>
  <c r="AJ480" i="1"/>
  <c r="AL480" i="1" s="1"/>
  <c r="F177" i="4"/>
  <c r="AJ479" i="1"/>
  <c r="AL479" i="1" s="1"/>
  <c r="E159" i="4"/>
  <c r="AJ434" i="1"/>
  <c r="AL434" i="1" s="1"/>
  <c r="F88" i="4"/>
  <c r="AJ238" i="1"/>
  <c r="AL238" i="1" s="1"/>
  <c r="F87" i="4"/>
  <c r="AJ237" i="1"/>
  <c r="AL237" i="1" s="1"/>
  <c r="E84" i="4"/>
  <c r="AJ241" i="1"/>
  <c r="AL241" i="1" s="1"/>
  <c r="E89" i="4"/>
  <c r="AJ222" i="1"/>
  <c r="AL222" i="1" s="1"/>
  <c r="F80" i="4"/>
  <c r="AJ224" i="1"/>
  <c r="AL224" i="1" s="1"/>
  <c r="F73" i="4"/>
  <c r="AJ189" i="1"/>
  <c r="AL189" i="1" s="1"/>
  <c r="E61" i="4"/>
  <c r="AJ154" i="1"/>
  <c r="AL154" i="1" s="1"/>
  <c r="F55" i="4"/>
  <c r="AJ144" i="1"/>
  <c r="AL144" i="1" s="1"/>
  <c r="F46" i="4"/>
  <c r="AJ132" i="1"/>
  <c r="AL132" i="1" s="1"/>
  <c r="AJ129" i="1"/>
  <c r="AL129" i="1" s="1"/>
  <c r="E49" i="4"/>
  <c r="AJ134" i="1"/>
  <c r="AL134" i="1" s="1"/>
  <c r="F45" i="4"/>
  <c r="AJ131" i="1"/>
  <c r="AL131" i="1" s="1"/>
  <c r="E59" i="4"/>
  <c r="AJ151" i="1"/>
  <c r="AL151" i="1" s="1"/>
  <c r="E53" i="4"/>
  <c r="AJ141" i="1"/>
  <c r="AL141" i="1" s="1"/>
  <c r="E56" i="4"/>
  <c r="AJ147" i="1"/>
  <c r="AL147" i="1" s="1"/>
  <c r="F60" i="4"/>
  <c r="AJ152" i="1"/>
  <c r="AL152" i="1" s="1"/>
  <c r="F44" i="4"/>
  <c r="AJ130" i="1"/>
  <c r="AL130" i="1" s="1"/>
  <c r="E43" i="4"/>
  <c r="AJ142" i="1"/>
  <c r="AL142" i="1" s="1"/>
  <c r="F52" i="4"/>
  <c r="AJ138" i="1"/>
  <c r="AL138" i="1" s="1"/>
  <c r="F57" i="4"/>
  <c r="AJ148" i="1"/>
  <c r="AL148" i="1" s="1"/>
  <c r="E51" i="4"/>
  <c r="AJ137" i="1"/>
  <c r="AL137" i="1" s="1"/>
  <c r="F50" i="4"/>
  <c r="AJ136" i="1"/>
  <c r="AL136" i="1" s="1"/>
  <c r="F19" i="4"/>
  <c r="F17" i="4"/>
  <c r="AJ49" i="1"/>
  <c r="AL49" i="1" s="1"/>
  <c r="E6" i="4"/>
  <c r="AJ8" i="1"/>
  <c r="AL8" i="1" s="1"/>
  <c r="F86" i="4"/>
  <c r="E81" i="4"/>
  <c r="F117" i="4"/>
  <c r="E143" i="4"/>
  <c r="E161" i="4"/>
  <c r="E154" i="4"/>
  <c r="E148" i="4"/>
  <c r="F146" i="4"/>
  <c r="E22" i="4"/>
  <c r="F123" i="4"/>
  <c r="E137" i="4"/>
  <c r="E54" i="4"/>
  <c r="E158" i="4"/>
  <c r="E85" i="4"/>
  <c r="F68" i="4"/>
  <c r="F7" i="4"/>
  <c r="H135" i="1"/>
  <c r="AJ135" i="1" s="1"/>
  <c r="AL135" i="1" s="1"/>
  <c r="F62" i="4" l="1"/>
  <c r="E62" i="4"/>
  <c r="E42" i="4"/>
  <c r="E24" i="4"/>
  <c r="F24" i="4"/>
  <c r="E136" i="4"/>
  <c r="E113" i="4"/>
  <c r="F134" i="4"/>
  <c r="F127" i="4"/>
  <c r="F115" i="4"/>
  <c r="F138" i="4"/>
  <c r="E116" i="4"/>
  <c r="F128" i="4"/>
  <c r="F107" i="4"/>
  <c r="F180" i="4"/>
  <c r="E173" i="4"/>
  <c r="F109" i="4"/>
  <c r="F159" i="4"/>
  <c r="E177" i="4"/>
  <c r="F176" i="4"/>
  <c r="F122" i="4"/>
  <c r="E114" i="4"/>
  <c r="F179" i="4"/>
  <c r="E168" i="4"/>
  <c r="E172" i="4"/>
  <c r="E167" i="4"/>
  <c r="F84" i="4"/>
  <c r="E87" i="4"/>
  <c r="E73" i="4"/>
  <c r="E178" i="4"/>
  <c r="E55" i="4"/>
  <c r="E88" i="4"/>
  <c r="F43" i="4"/>
  <c r="F171" i="4"/>
  <c r="F174" i="4"/>
  <c r="E46" i="4"/>
  <c r="F89" i="4"/>
  <c r="F53" i="4"/>
  <c r="E19" i="4"/>
  <c r="E60" i="4"/>
  <c r="F51" i="4"/>
  <c r="E52" i="4"/>
  <c r="F59" i="4"/>
  <c r="E80" i="4"/>
  <c r="F49" i="4"/>
  <c r="E57" i="4"/>
  <c r="F56" i="4"/>
  <c r="E45" i="4"/>
  <c r="E17" i="4"/>
  <c r="F61" i="4"/>
  <c r="E44" i="4"/>
  <c r="F42" i="4"/>
  <c r="E86" i="4"/>
  <c r="E50" i="4"/>
  <c r="F81" i="4"/>
  <c r="E117" i="4"/>
  <c r="F161" i="4"/>
  <c r="F143" i="4"/>
  <c r="F148" i="4"/>
  <c r="E146" i="4"/>
  <c r="F154" i="4"/>
  <c r="E123" i="4"/>
  <c r="F22" i="4"/>
  <c r="F137" i="4"/>
  <c r="F158" i="4"/>
  <c r="E68" i="4"/>
  <c r="F85" i="4"/>
  <c r="F54" i="4"/>
  <c r="D129" i="4"/>
  <c r="F129" i="4" s="1"/>
  <c r="E23" i="5" s="1"/>
  <c r="D118" i="4"/>
  <c r="F118" i="4" s="1"/>
  <c r="E22" i="5" s="1"/>
  <c r="E83" i="4"/>
  <c r="F83" i="4"/>
  <c r="E145" i="4"/>
  <c r="F145" i="4"/>
  <c r="F20" i="4"/>
  <c r="E20" i="4"/>
  <c r="F30" i="4"/>
  <c r="E30" i="4"/>
  <c r="D38" i="4"/>
  <c r="F38" i="4" s="1"/>
  <c r="E12" i="5" s="1"/>
  <c r="E155" i="4"/>
  <c r="F155" i="4"/>
  <c r="F181" i="4"/>
  <c r="E181" i="4"/>
  <c r="F169" i="4"/>
  <c r="E169" i="4"/>
  <c r="E58" i="4"/>
  <c r="F58" i="4"/>
  <c r="E111" i="4"/>
  <c r="F111" i="4"/>
  <c r="D26" i="4"/>
  <c r="F26" i="4" s="1"/>
  <c r="E11" i="5" s="1"/>
  <c r="E21" i="4"/>
  <c r="F21" i="4"/>
  <c r="F162" i="4"/>
  <c r="E162" i="4"/>
  <c r="E75" i="4"/>
  <c r="F75" i="4"/>
  <c r="E74" i="4"/>
  <c r="F74" i="4"/>
  <c r="E72" i="4"/>
  <c r="F72" i="4"/>
  <c r="E110" i="4"/>
  <c r="F110" i="4"/>
  <c r="F23" i="4"/>
  <c r="E23" i="4"/>
  <c r="E90" i="4"/>
  <c r="F90" i="4"/>
  <c r="E157" i="4"/>
  <c r="F157" i="4"/>
  <c r="F67" i="4"/>
  <c r="D76" i="4"/>
  <c r="F76" i="4" s="1"/>
  <c r="E14" i="5" s="1"/>
  <c r="E67" i="4"/>
  <c r="E82" i="4"/>
  <c r="F82" i="4"/>
  <c r="F170" i="4"/>
  <c r="E170" i="4"/>
  <c r="E175" i="4"/>
  <c r="F175" i="4"/>
  <c r="F156" i="4"/>
  <c r="E156" i="4"/>
  <c r="E133" i="4"/>
  <c r="F133" i="4"/>
  <c r="D139" i="4"/>
  <c r="F139" i="4" s="1"/>
  <c r="E24" i="5" s="1"/>
  <c r="E125" i="4"/>
  <c r="F125" i="4"/>
  <c r="E70" i="4"/>
  <c r="F70" i="4"/>
  <c r="D182" i="4"/>
  <c r="F182" i="4" s="1"/>
  <c r="E27" i="5" s="1"/>
  <c r="F69" i="4"/>
  <c r="E69" i="4"/>
  <c r="F144" i="4"/>
  <c r="E144" i="4"/>
  <c r="E18" i="4"/>
  <c r="F18" i="4"/>
  <c r="E160" i="4"/>
  <c r="F160" i="4"/>
  <c r="E124" i="4"/>
  <c r="F124" i="4"/>
  <c r="F112" i="4"/>
  <c r="E112" i="4"/>
  <c r="E71" i="4"/>
  <c r="F71" i="4"/>
  <c r="F135" i="4"/>
  <c r="E135" i="4"/>
  <c r="E149" i="4"/>
  <c r="F149" i="4"/>
  <c r="D163" i="4"/>
  <c r="F163" i="4" s="1"/>
  <c r="E26" i="5" s="1"/>
  <c r="F108" i="4"/>
  <c r="E108" i="4"/>
  <c r="D150" i="4"/>
  <c r="F150" i="4" s="1"/>
  <c r="E25" i="5" s="1"/>
  <c r="E91" i="4"/>
  <c r="F91" i="4"/>
  <c r="E147" i="4"/>
  <c r="F147" i="4"/>
  <c r="E126" i="4"/>
  <c r="F126" i="4"/>
  <c r="F8" i="4"/>
  <c r="F6" i="4"/>
  <c r="F11" i="4"/>
  <c r="D13" i="4"/>
  <c r="F9" i="4"/>
  <c r="F12" i="4"/>
  <c r="F10" i="4"/>
  <c r="H139" i="1"/>
  <c r="AJ139" i="1" s="1"/>
  <c r="AL139" i="1" s="1"/>
  <c r="H253" i="1"/>
  <c r="G507" i="1" s="1"/>
  <c r="G505" i="1" l="1"/>
  <c r="D93" i="4"/>
  <c r="F93" i="4" s="1"/>
  <c r="E15" i="5" s="1"/>
  <c r="AJ253" i="1"/>
  <c r="AL253" i="1" s="1"/>
  <c r="N118" i="4"/>
  <c r="E150" i="4"/>
  <c r="D25" i="5" s="1"/>
  <c r="Q118" i="4"/>
  <c r="E182" i="4"/>
  <c r="D27" i="5" s="1"/>
  <c r="Q129" i="4"/>
  <c r="N129" i="4"/>
  <c r="E76" i="4"/>
  <c r="D14" i="5" s="1"/>
  <c r="Q182" i="4"/>
  <c r="N150" i="4"/>
  <c r="E129" i="4"/>
  <c r="D23" i="5" s="1"/>
  <c r="Q150" i="4"/>
  <c r="Q163" i="4"/>
  <c r="E118" i="4"/>
  <c r="D22" i="5" s="1"/>
  <c r="E26" i="4"/>
  <c r="D11" i="5" s="1"/>
  <c r="E163" i="4"/>
  <c r="D26" i="5" s="1"/>
  <c r="N26" i="4"/>
  <c r="N76" i="4"/>
  <c r="Q76" i="4"/>
  <c r="Q26" i="4"/>
  <c r="H157" i="1"/>
  <c r="D63" i="4"/>
  <c r="N182" i="4"/>
  <c r="Q139" i="4"/>
  <c r="N139" i="4"/>
  <c r="E139" i="4"/>
  <c r="D24" i="5" s="1"/>
  <c r="N163" i="4"/>
  <c r="E38" i="4"/>
  <c r="D12" i="5" s="1"/>
  <c r="D186" i="4"/>
  <c r="Q38" i="4"/>
  <c r="N38" i="4"/>
  <c r="N13" i="4"/>
  <c r="Q13" i="4"/>
  <c r="F13" i="4"/>
  <c r="E10" i="5" s="1"/>
  <c r="E13" i="4"/>
  <c r="D10" i="5" s="1"/>
  <c r="AC489" i="1"/>
  <c r="AB489" i="1"/>
  <c r="AA48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AA450" i="1"/>
  <c r="AB391" i="1"/>
  <c r="AC391" i="1"/>
  <c r="AA391" i="1"/>
  <c r="AC345" i="1"/>
  <c r="AB345" i="1"/>
  <c r="AA345" i="1"/>
  <c r="AC290" i="1"/>
  <c r="AB290" i="1"/>
  <c r="AA290" i="1"/>
  <c r="AB255" i="1"/>
  <c r="AC255" i="1"/>
  <c r="AA255" i="1"/>
  <c r="AB212" i="1"/>
  <c r="AC212" i="1"/>
  <c r="AA212" i="1"/>
  <c r="AB157" i="1"/>
  <c r="AC157" i="1"/>
  <c r="AA157" i="1"/>
  <c r="AB119" i="1"/>
  <c r="AC119" i="1"/>
  <c r="AA119" i="1"/>
  <c r="AB81" i="1"/>
  <c r="AC81" i="1"/>
  <c r="AA81" i="1"/>
  <c r="AC39" i="1"/>
  <c r="AB39" i="1"/>
  <c r="AA39" i="1"/>
  <c r="AJ157" i="1" l="1"/>
  <c r="AL498" i="1"/>
  <c r="AL497" i="1"/>
  <c r="AL496" i="1"/>
  <c r="F92" i="4"/>
  <c r="N93" i="4" s="1"/>
  <c r="E92" i="4"/>
  <c r="E93" i="4" s="1"/>
  <c r="D15" i="5" s="1"/>
  <c r="C12" i="7"/>
  <c r="I157" i="1"/>
  <c r="N186" i="4"/>
  <c r="Q186" i="4"/>
  <c r="F186" i="4"/>
  <c r="E29" i="5" s="1"/>
  <c r="E186" i="4"/>
  <c r="D29" i="5" s="1"/>
  <c r="E48" i="4"/>
  <c r="F48" i="4"/>
  <c r="AB492" i="1"/>
  <c r="AC492" i="1"/>
  <c r="AA492" i="1"/>
  <c r="E63" i="4" l="1"/>
  <c r="D13" i="5" s="1"/>
  <c r="AL501" i="1"/>
  <c r="F12" i="7"/>
  <c r="H12" i="7" s="1"/>
  <c r="T12" i="7"/>
  <c r="U12" i="7" s="1"/>
  <c r="I12" i="3"/>
  <c r="Q93" i="4"/>
  <c r="Q63" i="4"/>
  <c r="N63" i="4"/>
  <c r="N98" i="4" s="1"/>
  <c r="N189" i="4" s="1"/>
  <c r="F63" i="4"/>
  <c r="E13" i="5" s="1"/>
  <c r="D98" i="4"/>
  <c r="D189" i="4" s="1"/>
  <c r="D101" i="4" s="1"/>
  <c r="F101" i="4" s="1"/>
  <c r="Q98" i="4" l="1"/>
  <c r="Q189" i="4" s="1"/>
  <c r="E98" i="4"/>
  <c r="E189" i="4" s="1"/>
  <c r="E101" i="4" s="1"/>
  <c r="F189" i="4"/>
  <c r="E32" i="5" s="1"/>
  <c r="F98" i="4"/>
  <c r="E17" i="5" s="1"/>
  <c r="L28" i="3"/>
  <c r="N28" i="3" s="1"/>
  <c r="D32" i="5" l="1"/>
  <c r="D17" i="5"/>
  <c r="C12" i="3" l="1"/>
  <c r="W465" i="1" l="1"/>
  <c r="W470" i="1"/>
  <c r="W472" i="1"/>
  <c r="I472" i="1"/>
  <c r="W483" i="1"/>
  <c r="I483" i="1"/>
  <c r="G489" i="1"/>
  <c r="G20" i="7" s="1"/>
  <c r="K489" i="1"/>
  <c r="L489" i="1"/>
  <c r="M489" i="1"/>
  <c r="N489" i="1"/>
  <c r="O489" i="1"/>
  <c r="P489" i="1"/>
  <c r="Q489" i="1"/>
  <c r="R489" i="1"/>
  <c r="S489" i="1"/>
  <c r="T489" i="1"/>
  <c r="U489" i="1"/>
  <c r="J489" i="1"/>
  <c r="G450" i="1"/>
  <c r="G19" i="7" s="1"/>
  <c r="K450" i="1"/>
  <c r="L450" i="1"/>
  <c r="M450" i="1"/>
  <c r="N450" i="1"/>
  <c r="O450" i="1"/>
  <c r="P450" i="1"/>
  <c r="Q450" i="1"/>
  <c r="R450" i="1"/>
  <c r="S450" i="1"/>
  <c r="T450" i="1"/>
  <c r="U450" i="1"/>
  <c r="J450" i="1"/>
  <c r="I416" i="1"/>
  <c r="I421" i="1"/>
  <c r="I429" i="1"/>
  <c r="G391" i="1"/>
  <c r="G18" i="7" s="1"/>
  <c r="K391" i="1"/>
  <c r="L391" i="1"/>
  <c r="M391" i="1"/>
  <c r="N391" i="1"/>
  <c r="O391" i="1"/>
  <c r="P391" i="1"/>
  <c r="Q391" i="1"/>
  <c r="R391" i="1"/>
  <c r="S391" i="1"/>
  <c r="T391" i="1"/>
  <c r="U391" i="1"/>
  <c r="J391" i="1"/>
  <c r="W359" i="1"/>
  <c r="W368" i="1"/>
  <c r="W375" i="1"/>
  <c r="W330" i="1"/>
  <c r="W333" i="1"/>
  <c r="G345" i="1"/>
  <c r="K345" i="1"/>
  <c r="L345" i="1"/>
  <c r="M345" i="1"/>
  <c r="N345" i="1"/>
  <c r="O345" i="1"/>
  <c r="P345" i="1"/>
  <c r="Q345" i="1"/>
  <c r="R345" i="1"/>
  <c r="S345" i="1"/>
  <c r="T345" i="1"/>
  <c r="U345" i="1"/>
  <c r="J345" i="1"/>
  <c r="G316" i="1"/>
  <c r="G16" i="7" s="1"/>
  <c r="W310" i="1"/>
  <c r="K316" i="1"/>
  <c r="L316" i="1"/>
  <c r="M316" i="1"/>
  <c r="N316" i="1"/>
  <c r="O316" i="1"/>
  <c r="P316" i="1"/>
  <c r="Q316" i="1"/>
  <c r="R316" i="1"/>
  <c r="S316" i="1"/>
  <c r="T316" i="1"/>
  <c r="U316" i="1"/>
  <c r="J316" i="1"/>
  <c r="W284" i="1"/>
  <c r="I284" i="1"/>
  <c r="W288" i="1"/>
  <c r="I288" i="1"/>
  <c r="G290" i="1"/>
  <c r="G15" i="7" s="1"/>
  <c r="K290" i="1"/>
  <c r="L290" i="1"/>
  <c r="M290" i="1"/>
  <c r="N290" i="1"/>
  <c r="O290" i="1"/>
  <c r="P290" i="1"/>
  <c r="Q290" i="1"/>
  <c r="R290" i="1"/>
  <c r="S290" i="1"/>
  <c r="T290" i="1"/>
  <c r="U290" i="1"/>
  <c r="J290" i="1"/>
  <c r="W227" i="1"/>
  <c r="I227" i="1"/>
  <c r="W245" i="1"/>
  <c r="G255" i="1"/>
  <c r="G14" i="7" s="1"/>
  <c r="K255" i="1"/>
  <c r="L255" i="1"/>
  <c r="M255" i="1"/>
  <c r="N255" i="1"/>
  <c r="O255" i="1"/>
  <c r="P255" i="1"/>
  <c r="Q255" i="1"/>
  <c r="R255" i="1"/>
  <c r="S255" i="1"/>
  <c r="T255" i="1"/>
  <c r="U255" i="1"/>
  <c r="J255" i="1"/>
  <c r="G212" i="1"/>
  <c r="G13" i="7" s="1"/>
  <c r="W180" i="1"/>
  <c r="W202" i="1"/>
  <c r="W203" i="1"/>
  <c r="K212" i="1"/>
  <c r="L212" i="1"/>
  <c r="M212" i="1"/>
  <c r="N212" i="1"/>
  <c r="O212" i="1"/>
  <c r="P212" i="1"/>
  <c r="Q212" i="1"/>
  <c r="R212" i="1"/>
  <c r="S212" i="1"/>
  <c r="T212" i="1"/>
  <c r="U212" i="1"/>
  <c r="J212" i="1"/>
  <c r="W150" i="1"/>
  <c r="I150" i="1"/>
  <c r="W154" i="1"/>
  <c r="I154" i="1"/>
  <c r="K157" i="1"/>
  <c r="L157" i="1"/>
  <c r="M157" i="1"/>
  <c r="N157" i="1"/>
  <c r="O157" i="1"/>
  <c r="P157" i="1"/>
  <c r="Q157" i="1"/>
  <c r="R157" i="1"/>
  <c r="S157" i="1"/>
  <c r="T157" i="1"/>
  <c r="U157" i="1"/>
  <c r="J157" i="1"/>
  <c r="W102" i="1"/>
  <c r="I102" i="1"/>
  <c r="G119" i="1"/>
  <c r="G11" i="7" s="1"/>
  <c r="J119" i="1"/>
  <c r="K119" i="1"/>
  <c r="L119" i="1"/>
  <c r="M119" i="1"/>
  <c r="N119" i="1"/>
  <c r="O119" i="1"/>
  <c r="P119" i="1"/>
  <c r="Q119" i="1"/>
  <c r="R119" i="1"/>
  <c r="S119" i="1"/>
  <c r="T119" i="1"/>
  <c r="U119" i="1"/>
  <c r="K81" i="1"/>
  <c r="L81" i="1"/>
  <c r="M81" i="1"/>
  <c r="N81" i="1"/>
  <c r="O81" i="1"/>
  <c r="P81" i="1"/>
  <c r="Q81" i="1"/>
  <c r="R81" i="1"/>
  <c r="S81" i="1"/>
  <c r="T81" i="1"/>
  <c r="U81" i="1"/>
  <c r="J81" i="1"/>
  <c r="W51" i="1"/>
  <c r="W58" i="1"/>
  <c r="I58" i="1"/>
  <c r="W62" i="1"/>
  <c r="I62" i="1"/>
  <c r="W73" i="1"/>
  <c r="I73" i="1"/>
  <c r="W77" i="1"/>
  <c r="I77" i="1"/>
  <c r="G81" i="1"/>
  <c r="G10" i="7" s="1"/>
  <c r="G39" i="1"/>
  <c r="G9" i="7" s="1"/>
  <c r="W8" i="1"/>
  <c r="K39" i="1"/>
  <c r="L39" i="1"/>
  <c r="M39" i="1"/>
  <c r="N39" i="1"/>
  <c r="O39" i="1"/>
  <c r="P39" i="1"/>
  <c r="Q39" i="1"/>
  <c r="R39" i="1"/>
  <c r="S39" i="1"/>
  <c r="T39" i="1"/>
  <c r="U39" i="1"/>
  <c r="J39" i="1"/>
  <c r="K41" i="9" l="1"/>
  <c r="AM39" i="1"/>
  <c r="G27" i="7"/>
  <c r="AN316" i="1"/>
  <c r="AN290" i="1"/>
  <c r="AN255" i="1"/>
  <c r="AN119" i="1"/>
  <c r="AN157" i="1"/>
  <c r="AN212" i="1"/>
  <c r="AN391" i="1"/>
  <c r="AN450" i="1"/>
  <c r="AN489" i="1"/>
  <c r="G17" i="7"/>
  <c r="AN345" i="1"/>
  <c r="I333" i="1"/>
  <c r="I368" i="1"/>
  <c r="I359" i="1"/>
  <c r="I203" i="1"/>
  <c r="I245" i="1"/>
  <c r="I470" i="1"/>
  <c r="I14" i="1"/>
  <c r="W14" i="1"/>
  <c r="I182" i="1"/>
  <c r="W182" i="1"/>
  <c r="I172" i="1"/>
  <c r="W172" i="1"/>
  <c r="I253" i="1"/>
  <c r="W253" i="1"/>
  <c r="I234" i="1"/>
  <c r="W234" i="1"/>
  <c r="I338" i="1"/>
  <c r="W338" i="1"/>
  <c r="I383" i="1"/>
  <c r="W383" i="1"/>
  <c r="I364" i="1"/>
  <c r="W364" i="1"/>
  <c r="I422" i="1"/>
  <c r="I33" i="1"/>
  <c r="W33" i="1"/>
  <c r="I13" i="1"/>
  <c r="W13" i="1"/>
  <c r="I201" i="1"/>
  <c r="W201" i="1"/>
  <c r="I181" i="1"/>
  <c r="W181" i="1"/>
  <c r="I224" i="1"/>
  <c r="W224" i="1"/>
  <c r="I337" i="1"/>
  <c r="W337" i="1"/>
  <c r="I328" i="1"/>
  <c r="W328" i="1"/>
  <c r="I372" i="1"/>
  <c r="W372" i="1"/>
  <c r="I12" i="1"/>
  <c r="W12" i="1"/>
  <c r="I50" i="1"/>
  <c r="W50" i="1"/>
  <c r="I144" i="1"/>
  <c r="W144" i="1"/>
  <c r="I242" i="1"/>
  <c r="W242" i="1"/>
  <c r="I223" i="1"/>
  <c r="W223" i="1"/>
  <c r="I327" i="1"/>
  <c r="W327" i="1"/>
  <c r="I439" i="1"/>
  <c r="I250" i="1"/>
  <c r="W250" i="1"/>
  <c r="I307" i="1"/>
  <c r="W307" i="1"/>
  <c r="I335" i="1"/>
  <c r="W335" i="1"/>
  <c r="I355" i="1"/>
  <c r="W355" i="1"/>
  <c r="I380" i="1"/>
  <c r="W380" i="1"/>
  <c r="I412" i="1"/>
  <c r="I476" i="1"/>
  <c r="W476" i="1"/>
  <c r="I468" i="1"/>
  <c r="W468" i="1"/>
  <c r="I112" i="1"/>
  <c r="W112" i="1"/>
  <c r="I93" i="1"/>
  <c r="W93" i="1"/>
  <c r="I188" i="1"/>
  <c r="W188" i="1"/>
  <c r="I230" i="1"/>
  <c r="W230" i="1"/>
  <c r="I283" i="1"/>
  <c r="W283" i="1"/>
  <c r="I19" i="1"/>
  <c r="W19" i="1"/>
  <c r="I131" i="1"/>
  <c r="W131" i="1"/>
  <c r="I197" i="1"/>
  <c r="W197" i="1"/>
  <c r="I418" i="1"/>
  <c r="I474" i="1"/>
  <c r="W474" i="1"/>
  <c r="I130" i="1"/>
  <c r="W130" i="1"/>
  <c r="I186" i="1"/>
  <c r="W186" i="1"/>
  <c r="I247" i="1"/>
  <c r="W247" i="1"/>
  <c r="I228" i="1"/>
  <c r="W228" i="1"/>
  <c r="I304" i="1"/>
  <c r="W304" i="1"/>
  <c r="I377" i="1"/>
  <c r="W377" i="1"/>
  <c r="I417" i="1"/>
  <c r="I17" i="1"/>
  <c r="W17" i="1"/>
  <c r="I280" i="1"/>
  <c r="W280" i="1"/>
  <c r="I99" i="1"/>
  <c r="W99" i="1"/>
  <c r="I24" i="1"/>
  <c r="W24" i="1"/>
  <c r="I78" i="1"/>
  <c r="W78" i="1"/>
  <c r="I61" i="1"/>
  <c r="W61" i="1"/>
  <c r="I116" i="1"/>
  <c r="W116" i="1"/>
  <c r="I210" i="1"/>
  <c r="W210" i="1"/>
  <c r="I192" i="1"/>
  <c r="W192" i="1"/>
  <c r="I244" i="1"/>
  <c r="W244" i="1"/>
  <c r="I277" i="1"/>
  <c r="W277" i="1"/>
  <c r="I329" i="1"/>
  <c r="W329" i="1"/>
  <c r="I373" i="1"/>
  <c r="W373" i="1"/>
  <c r="I461" i="1"/>
  <c r="W461" i="1"/>
  <c r="I23" i="1"/>
  <c r="W23" i="1"/>
  <c r="I60" i="1"/>
  <c r="W60" i="1"/>
  <c r="I96" i="1"/>
  <c r="W96" i="1"/>
  <c r="I145" i="1"/>
  <c r="W145" i="1"/>
  <c r="I135" i="1"/>
  <c r="W135" i="1"/>
  <c r="I209" i="1"/>
  <c r="W209" i="1"/>
  <c r="I191" i="1"/>
  <c r="W191" i="1"/>
  <c r="I171" i="1"/>
  <c r="W171" i="1"/>
  <c r="I252" i="1"/>
  <c r="W252" i="1"/>
  <c r="I233" i="1"/>
  <c r="W233" i="1"/>
  <c r="I276" i="1"/>
  <c r="W276" i="1"/>
  <c r="I382" i="1"/>
  <c r="W382" i="1"/>
  <c r="I478" i="1"/>
  <c r="W478" i="1"/>
  <c r="I32" i="1"/>
  <c r="W32" i="1"/>
  <c r="I22" i="1"/>
  <c r="W22" i="1"/>
  <c r="I59" i="1"/>
  <c r="W59" i="1"/>
  <c r="I114" i="1"/>
  <c r="W114" i="1"/>
  <c r="I200" i="1"/>
  <c r="W200" i="1"/>
  <c r="I170" i="1"/>
  <c r="W170" i="1"/>
  <c r="I251" i="1"/>
  <c r="W251" i="1"/>
  <c r="I336" i="1"/>
  <c r="W336" i="1"/>
  <c r="I381" i="1"/>
  <c r="W381" i="1"/>
  <c r="I413" i="1"/>
  <c r="I403" i="1"/>
  <c r="I486" i="1"/>
  <c r="W486" i="1"/>
  <c r="I469" i="1"/>
  <c r="W469" i="1"/>
  <c r="I31" i="1"/>
  <c r="W31" i="1"/>
  <c r="I94" i="1"/>
  <c r="W94" i="1"/>
  <c r="I152" i="1"/>
  <c r="W152" i="1"/>
  <c r="I143" i="1"/>
  <c r="W143" i="1"/>
  <c r="I207" i="1"/>
  <c r="W207" i="1"/>
  <c r="I189" i="1"/>
  <c r="W189" i="1"/>
  <c r="I30" i="1"/>
  <c r="W30" i="1"/>
  <c r="I20" i="1"/>
  <c r="W20" i="1"/>
  <c r="I10" i="1"/>
  <c r="W10" i="1"/>
  <c r="I66" i="1"/>
  <c r="W66" i="1"/>
  <c r="I151" i="1"/>
  <c r="W151" i="1"/>
  <c r="I142" i="1"/>
  <c r="W142" i="1"/>
  <c r="I132" i="1"/>
  <c r="W132" i="1"/>
  <c r="I198" i="1"/>
  <c r="W198" i="1"/>
  <c r="I178" i="1"/>
  <c r="W178" i="1"/>
  <c r="I249" i="1"/>
  <c r="W249" i="1"/>
  <c r="I273" i="1"/>
  <c r="W273" i="1"/>
  <c r="I300" i="1"/>
  <c r="W300" i="1"/>
  <c r="I326" i="1"/>
  <c r="W326" i="1"/>
  <c r="I334" i="1"/>
  <c r="W334" i="1"/>
  <c r="I379" i="1"/>
  <c r="W379" i="1"/>
  <c r="I360" i="1"/>
  <c r="W360" i="1"/>
  <c r="I437" i="1"/>
  <c r="I411" i="1"/>
  <c r="I29" i="1"/>
  <c r="W29" i="1"/>
  <c r="I9" i="1"/>
  <c r="W9" i="1"/>
  <c r="I65" i="1"/>
  <c r="W65" i="1"/>
  <c r="I92" i="1"/>
  <c r="W92" i="1"/>
  <c r="I205" i="1"/>
  <c r="W205" i="1"/>
  <c r="I187" i="1"/>
  <c r="W187" i="1"/>
  <c r="I248" i="1"/>
  <c r="W248" i="1"/>
  <c r="I229" i="1"/>
  <c r="W229" i="1"/>
  <c r="I282" i="1"/>
  <c r="W282" i="1"/>
  <c r="I272" i="1"/>
  <c r="W272" i="1"/>
  <c r="I343" i="1"/>
  <c r="W343" i="1"/>
  <c r="I388" i="1"/>
  <c r="W388" i="1"/>
  <c r="I410" i="1"/>
  <c r="I28" i="1"/>
  <c r="W28" i="1"/>
  <c r="I18" i="1"/>
  <c r="W18" i="1"/>
  <c r="I64" i="1"/>
  <c r="W64" i="1"/>
  <c r="I110" i="1"/>
  <c r="W110" i="1"/>
  <c r="I140" i="1"/>
  <c r="W140" i="1"/>
  <c r="I196" i="1"/>
  <c r="W196" i="1"/>
  <c r="I238" i="1"/>
  <c r="W238" i="1"/>
  <c r="I265" i="1"/>
  <c r="W265" i="1"/>
  <c r="I271" i="1"/>
  <c r="W271" i="1"/>
  <c r="I342" i="1"/>
  <c r="W342" i="1"/>
  <c r="I473" i="1"/>
  <c r="W473" i="1"/>
  <c r="I63" i="1"/>
  <c r="W63" i="1"/>
  <c r="I55" i="1"/>
  <c r="W55" i="1"/>
  <c r="I109" i="1"/>
  <c r="W109" i="1"/>
  <c r="I149" i="1"/>
  <c r="W149" i="1"/>
  <c r="I139" i="1"/>
  <c r="W139" i="1"/>
  <c r="I195" i="1"/>
  <c r="W195" i="1"/>
  <c r="I246" i="1"/>
  <c r="W246" i="1"/>
  <c r="I237" i="1"/>
  <c r="W237" i="1"/>
  <c r="I270" i="1"/>
  <c r="W270" i="1"/>
  <c r="I341" i="1"/>
  <c r="W341" i="1"/>
  <c r="I332" i="1"/>
  <c r="W332" i="1"/>
  <c r="I386" i="1"/>
  <c r="W386" i="1"/>
  <c r="I376" i="1"/>
  <c r="W376" i="1"/>
  <c r="I367" i="1"/>
  <c r="W367" i="1"/>
  <c r="I425" i="1"/>
  <c r="I36" i="1"/>
  <c r="W36" i="1"/>
  <c r="I26" i="1"/>
  <c r="W26" i="1"/>
  <c r="I16" i="1"/>
  <c r="W16" i="1"/>
  <c r="I54" i="1"/>
  <c r="W54" i="1"/>
  <c r="I91" i="1"/>
  <c r="W91" i="1"/>
  <c r="I108" i="1"/>
  <c r="W108" i="1"/>
  <c r="I129" i="1"/>
  <c r="W129" i="1"/>
  <c r="I138" i="1"/>
  <c r="W138" i="1"/>
  <c r="I194" i="1"/>
  <c r="W194" i="1"/>
  <c r="I184" i="1"/>
  <c r="W184" i="1"/>
  <c r="I236" i="1"/>
  <c r="W236" i="1"/>
  <c r="I279" i="1"/>
  <c r="W279" i="1"/>
  <c r="I311" i="1"/>
  <c r="W311" i="1"/>
  <c r="I331" i="1"/>
  <c r="W331" i="1"/>
  <c r="I366" i="1"/>
  <c r="W366" i="1"/>
  <c r="I433" i="1"/>
  <c r="I481" i="1"/>
  <c r="W481" i="1"/>
  <c r="I35" i="1"/>
  <c r="W35" i="1"/>
  <c r="I25" i="1"/>
  <c r="W25" i="1"/>
  <c r="I71" i="1"/>
  <c r="W71" i="1"/>
  <c r="I117" i="1"/>
  <c r="W117" i="1"/>
  <c r="I98" i="1"/>
  <c r="W98" i="1"/>
  <c r="I155" i="1"/>
  <c r="W155" i="1"/>
  <c r="I167" i="1"/>
  <c r="W167" i="1"/>
  <c r="I202" i="1"/>
  <c r="I193" i="1"/>
  <c r="W193" i="1"/>
  <c r="I183" i="1"/>
  <c r="W183" i="1"/>
  <c r="I222" i="1"/>
  <c r="W222" i="1"/>
  <c r="I235" i="1"/>
  <c r="W235" i="1"/>
  <c r="I226" i="1"/>
  <c r="W226" i="1"/>
  <c r="I268" i="1"/>
  <c r="W268" i="1"/>
  <c r="I310" i="1"/>
  <c r="I301" i="1"/>
  <c r="W301" i="1"/>
  <c r="I339" i="1"/>
  <c r="W339" i="1"/>
  <c r="I384" i="1"/>
  <c r="W384" i="1"/>
  <c r="I374" i="1"/>
  <c r="W374" i="1"/>
  <c r="I356" i="1"/>
  <c r="W356" i="1"/>
  <c r="I442" i="1"/>
  <c r="I432" i="1"/>
  <c r="I415" i="1"/>
  <c r="I471" i="1"/>
  <c r="W471" i="1"/>
  <c r="I487" i="1"/>
  <c r="W487" i="1"/>
  <c r="I485" i="1"/>
  <c r="W485" i="1"/>
  <c r="I484" i="1"/>
  <c r="W484" i="1"/>
  <c r="I482" i="1"/>
  <c r="W482" i="1"/>
  <c r="I480" i="1"/>
  <c r="W480" i="1"/>
  <c r="I479" i="1"/>
  <c r="W479" i="1"/>
  <c r="I477" i="1"/>
  <c r="W477" i="1"/>
  <c r="I475" i="1"/>
  <c r="W475" i="1"/>
  <c r="I467" i="1"/>
  <c r="W467" i="1"/>
  <c r="I466" i="1"/>
  <c r="W466" i="1"/>
  <c r="I463" i="1"/>
  <c r="W463" i="1"/>
  <c r="I462" i="1"/>
  <c r="W462" i="1"/>
  <c r="I464" i="1"/>
  <c r="W464" i="1"/>
  <c r="I460" i="1"/>
  <c r="W460" i="1"/>
  <c r="I375" i="1"/>
  <c r="I447" i="1"/>
  <c r="I446" i="1"/>
  <c r="I445" i="1"/>
  <c r="I444" i="1"/>
  <c r="I443" i="1"/>
  <c r="I440" i="1"/>
  <c r="I441" i="1"/>
  <c r="I438" i="1"/>
  <c r="I436" i="1"/>
  <c r="I435" i="1"/>
  <c r="I434" i="1"/>
  <c r="I428" i="1"/>
  <c r="I427" i="1"/>
  <c r="I426" i="1"/>
  <c r="I431" i="1"/>
  <c r="I430" i="1"/>
  <c r="I424" i="1"/>
  <c r="I423" i="1"/>
  <c r="I420" i="1"/>
  <c r="I419" i="1"/>
  <c r="I414" i="1"/>
  <c r="I407" i="1"/>
  <c r="I406" i="1"/>
  <c r="I405" i="1"/>
  <c r="I404" i="1"/>
  <c r="I409" i="1"/>
  <c r="I408" i="1"/>
  <c r="I402" i="1"/>
  <c r="C19" i="3"/>
  <c r="I401" i="1"/>
  <c r="I389" i="1"/>
  <c r="W389" i="1"/>
  <c r="I387" i="1"/>
  <c r="W387" i="1"/>
  <c r="I385" i="1"/>
  <c r="W385" i="1"/>
  <c r="I378" i="1"/>
  <c r="W378" i="1"/>
  <c r="I369" i="1"/>
  <c r="W369" i="1"/>
  <c r="I371" i="1"/>
  <c r="W371" i="1"/>
  <c r="I370" i="1"/>
  <c r="W370" i="1"/>
  <c r="I365" i="1"/>
  <c r="W365" i="1"/>
  <c r="I363" i="1"/>
  <c r="W363" i="1"/>
  <c r="I362" i="1"/>
  <c r="W362" i="1"/>
  <c r="I361" i="1"/>
  <c r="W361" i="1"/>
  <c r="I357" i="1"/>
  <c r="W357" i="1"/>
  <c r="I358" i="1"/>
  <c r="W358" i="1"/>
  <c r="C18" i="3"/>
  <c r="I340" i="1"/>
  <c r="W340" i="1"/>
  <c r="C17" i="3"/>
  <c r="I306" i="1"/>
  <c r="W306" i="1"/>
  <c r="I312" i="1"/>
  <c r="W312" i="1"/>
  <c r="I314" i="1"/>
  <c r="W314" i="1"/>
  <c r="I313" i="1"/>
  <c r="W313" i="1"/>
  <c r="I309" i="1"/>
  <c r="W309" i="1"/>
  <c r="I308" i="1"/>
  <c r="W308" i="1"/>
  <c r="I305" i="1"/>
  <c r="W305" i="1"/>
  <c r="I303" i="1"/>
  <c r="W303" i="1"/>
  <c r="C16" i="3"/>
  <c r="I302" i="1"/>
  <c r="W302" i="1"/>
  <c r="I281" i="1"/>
  <c r="W281" i="1"/>
  <c r="I287" i="1"/>
  <c r="W287" i="1"/>
  <c r="I286" i="1"/>
  <c r="W286" i="1"/>
  <c r="I285" i="1"/>
  <c r="W285" i="1"/>
  <c r="I278" i="1"/>
  <c r="W278" i="1"/>
  <c r="I275" i="1"/>
  <c r="W275" i="1"/>
  <c r="I274" i="1"/>
  <c r="W274" i="1"/>
  <c r="I269" i="1"/>
  <c r="W269" i="1"/>
  <c r="C15" i="3"/>
  <c r="I267" i="1"/>
  <c r="W267" i="1"/>
  <c r="I266" i="1"/>
  <c r="W266" i="1"/>
  <c r="I225" i="1"/>
  <c r="W225" i="1"/>
  <c r="I231" i="1"/>
  <c r="W231" i="1"/>
  <c r="I232" i="1"/>
  <c r="W232" i="1"/>
  <c r="I243" i="1"/>
  <c r="W243" i="1"/>
  <c r="I241" i="1"/>
  <c r="W241" i="1"/>
  <c r="I240" i="1"/>
  <c r="W240" i="1"/>
  <c r="I239" i="1"/>
  <c r="W239" i="1"/>
  <c r="C14" i="3"/>
  <c r="I208" i="1"/>
  <c r="W208" i="1"/>
  <c r="I206" i="1"/>
  <c r="W206" i="1"/>
  <c r="I204" i="1"/>
  <c r="W204" i="1"/>
  <c r="I199" i="1"/>
  <c r="W199" i="1"/>
  <c r="I190" i="1"/>
  <c r="W190" i="1"/>
  <c r="I185" i="1"/>
  <c r="W185" i="1"/>
  <c r="I180" i="1"/>
  <c r="I179" i="1"/>
  <c r="W179" i="1"/>
  <c r="I175" i="1"/>
  <c r="W175" i="1"/>
  <c r="I174" i="1"/>
  <c r="W174" i="1"/>
  <c r="I173" i="1"/>
  <c r="W173" i="1"/>
  <c r="I177" i="1"/>
  <c r="W177" i="1"/>
  <c r="I176" i="1"/>
  <c r="W176" i="1"/>
  <c r="I169" i="1"/>
  <c r="W169" i="1"/>
  <c r="I168" i="1"/>
  <c r="W168" i="1"/>
  <c r="C13" i="3"/>
  <c r="I153" i="1"/>
  <c r="W153" i="1"/>
  <c r="I148" i="1"/>
  <c r="W148" i="1"/>
  <c r="I146" i="1"/>
  <c r="W146" i="1"/>
  <c r="I147" i="1"/>
  <c r="W147" i="1"/>
  <c r="I141" i="1"/>
  <c r="W141" i="1"/>
  <c r="I137" i="1"/>
  <c r="W137" i="1"/>
  <c r="I136" i="1"/>
  <c r="W136" i="1"/>
  <c r="I133" i="1"/>
  <c r="W133" i="1"/>
  <c r="I134" i="1"/>
  <c r="W134" i="1"/>
  <c r="I115" i="1"/>
  <c r="W115" i="1"/>
  <c r="I113" i="1"/>
  <c r="W113" i="1"/>
  <c r="I111" i="1"/>
  <c r="W111" i="1"/>
  <c r="I105" i="1"/>
  <c r="W105" i="1"/>
  <c r="I104" i="1"/>
  <c r="W104" i="1"/>
  <c r="I101" i="1"/>
  <c r="W101" i="1"/>
  <c r="I100" i="1"/>
  <c r="W100" i="1"/>
  <c r="I107" i="1"/>
  <c r="W107" i="1"/>
  <c r="I106" i="1"/>
  <c r="W106" i="1"/>
  <c r="I103" i="1"/>
  <c r="W103" i="1"/>
  <c r="I97" i="1"/>
  <c r="W97" i="1"/>
  <c r="I95" i="1"/>
  <c r="W95" i="1"/>
  <c r="I79" i="1"/>
  <c r="W79" i="1"/>
  <c r="I76" i="1"/>
  <c r="W76" i="1"/>
  <c r="I75" i="1"/>
  <c r="W75" i="1"/>
  <c r="I74" i="1"/>
  <c r="W74" i="1"/>
  <c r="I72" i="1"/>
  <c r="W72" i="1"/>
  <c r="I69" i="1"/>
  <c r="W69" i="1"/>
  <c r="I68" i="1"/>
  <c r="W68" i="1"/>
  <c r="I70" i="1"/>
  <c r="W70" i="1"/>
  <c r="I67" i="1"/>
  <c r="W67" i="1"/>
  <c r="I56" i="1"/>
  <c r="W56" i="1"/>
  <c r="I57" i="1"/>
  <c r="W57" i="1"/>
  <c r="I53" i="1"/>
  <c r="W53" i="1"/>
  <c r="I52" i="1"/>
  <c r="W52" i="1"/>
  <c r="I49" i="1"/>
  <c r="W49" i="1"/>
  <c r="I37" i="1"/>
  <c r="W37" i="1"/>
  <c r="I34" i="1"/>
  <c r="W34" i="1"/>
  <c r="I27" i="1"/>
  <c r="W27" i="1"/>
  <c r="I21" i="1"/>
  <c r="W21" i="1"/>
  <c r="I15" i="1"/>
  <c r="W15" i="1"/>
  <c r="C9" i="3"/>
  <c r="I11" i="1"/>
  <c r="W11" i="1"/>
  <c r="R492" i="1"/>
  <c r="S492" i="1"/>
  <c r="M492" i="1"/>
  <c r="N492" i="1"/>
  <c r="K492" i="1"/>
  <c r="H39" i="1"/>
  <c r="L492" i="1"/>
  <c r="J492" i="1"/>
  <c r="T492" i="1"/>
  <c r="Q492" i="1"/>
  <c r="P492" i="1"/>
  <c r="H81" i="1"/>
  <c r="U492" i="1"/>
  <c r="O492" i="1"/>
  <c r="H345" i="1"/>
  <c r="H489" i="1"/>
  <c r="I8" i="1"/>
  <c r="G492" i="1"/>
  <c r="C11" i="3"/>
  <c r="I51" i="1"/>
  <c r="H119" i="1"/>
  <c r="H212" i="1"/>
  <c r="H255" i="1"/>
  <c r="C10" i="3"/>
  <c r="H316" i="1"/>
  <c r="H290" i="1"/>
  <c r="H391" i="1"/>
  <c r="C20" i="3"/>
  <c r="I330" i="1"/>
  <c r="I465" i="1"/>
  <c r="H450" i="1"/>
  <c r="AO40" i="9" l="1"/>
  <c r="K511" i="9"/>
  <c r="T509" i="1"/>
  <c r="T510" i="1"/>
  <c r="T512" i="1"/>
  <c r="T511" i="1"/>
  <c r="T508" i="1"/>
  <c r="T507" i="1"/>
  <c r="T506" i="1"/>
  <c r="T504" i="1"/>
  <c r="T503" i="1"/>
  <c r="T502" i="1"/>
  <c r="T513" i="1"/>
  <c r="T505" i="1"/>
  <c r="I509" i="1"/>
  <c r="H509" i="1"/>
  <c r="S509" i="1"/>
  <c r="H511" i="1"/>
  <c r="I511" i="1"/>
  <c r="S511" i="1"/>
  <c r="S512" i="1"/>
  <c r="I512" i="1"/>
  <c r="H512" i="1"/>
  <c r="S510" i="1"/>
  <c r="I510" i="1"/>
  <c r="H510" i="1"/>
  <c r="S508" i="1"/>
  <c r="I508" i="1"/>
  <c r="H508" i="1"/>
  <c r="S513" i="1"/>
  <c r="H513" i="1"/>
  <c r="I513" i="1"/>
  <c r="S507" i="1"/>
  <c r="I507" i="1"/>
  <c r="H507" i="1"/>
  <c r="I506" i="1"/>
  <c r="S506" i="1"/>
  <c r="H506" i="1"/>
  <c r="I505" i="1"/>
  <c r="H505" i="1"/>
  <c r="S505" i="1"/>
  <c r="H504" i="1"/>
  <c r="S504" i="1"/>
  <c r="I504" i="1"/>
  <c r="S503" i="1"/>
  <c r="I503" i="1"/>
  <c r="H503" i="1"/>
  <c r="S502" i="1"/>
  <c r="I502" i="1"/>
  <c r="H502" i="1"/>
  <c r="G28" i="7"/>
  <c r="G30" i="7" s="1"/>
  <c r="G22" i="7"/>
  <c r="AJ489" i="1"/>
  <c r="S29" i="8"/>
  <c r="U29" i="8" s="1"/>
  <c r="AJ119" i="1"/>
  <c r="AJ81" i="1"/>
  <c r="AJ39" i="1"/>
  <c r="C17" i="7"/>
  <c r="AJ345" i="1"/>
  <c r="C16" i="7"/>
  <c r="AJ316" i="1"/>
  <c r="C15" i="7"/>
  <c r="AJ290" i="1"/>
  <c r="C19" i="7"/>
  <c r="AJ450" i="1"/>
  <c r="C18" i="7"/>
  <c r="AJ391" i="1"/>
  <c r="C14" i="7"/>
  <c r="AJ255" i="1"/>
  <c r="C13" i="7"/>
  <c r="AJ212" i="1"/>
  <c r="C11" i="7"/>
  <c r="AN39" i="1"/>
  <c r="G20" i="3"/>
  <c r="E20" i="3" s="1"/>
  <c r="C20" i="7"/>
  <c r="I489" i="1"/>
  <c r="I450" i="1"/>
  <c r="I391" i="1"/>
  <c r="I345" i="1"/>
  <c r="I316" i="1"/>
  <c r="I290" i="1"/>
  <c r="I255" i="1"/>
  <c r="I212" i="1"/>
  <c r="I119" i="1"/>
  <c r="G10" i="3"/>
  <c r="E10" i="3" s="1"/>
  <c r="I81" i="1"/>
  <c r="C10" i="7"/>
  <c r="G9" i="3"/>
  <c r="E9" i="3" s="1"/>
  <c r="C9" i="7"/>
  <c r="W345" i="1"/>
  <c r="W81" i="1"/>
  <c r="G12" i="3"/>
  <c r="E12" i="3" s="1"/>
  <c r="W489" i="1"/>
  <c r="W450" i="1"/>
  <c r="W391" i="1"/>
  <c r="AT391" i="1" s="1"/>
  <c r="W316" i="1"/>
  <c r="W290" i="1"/>
  <c r="W255" i="1"/>
  <c r="AT255" i="1" s="1"/>
  <c r="W212" i="1"/>
  <c r="W157" i="1"/>
  <c r="W119" i="1"/>
  <c r="W39" i="1"/>
  <c r="I39" i="1"/>
  <c r="C27" i="3"/>
  <c r="H492" i="1"/>
  <c r="G14" i="3"/>
  <c r="E14" i="3" s="1"/>
  <c r="G19" i="3"/>
  <c r="E19" i="3" s="1"/>
  <c r="G18" i="3"/>
  <c r="E18" i="3" s="1"/>
  <c r="G15" i="3"/>
  <c r="G13" i="3"/>
  <c r="E13" i="3" s="1"/>
  <c r="G16" i="3"/>
  <c r="E16" i="3" s="1"/>
  <c r="G11" i="3"/>
  <c r="C22" i="3"/>
  <c r="G17" i="3"/>
  <c r="E17" i="3" s="1"/>
  <c r="C28" i="3"/>
  <c r="K126" i="9" l="1"/>
  <c r="K44" i="9"/>
  <c r="K410" i="9"/>
  <c r="K363" i="9"/>
  <c r="K267" i="9"/>
  <c r="K304" i="9"/>
  <c r="K222" i="9"/>
  <c r="K88" i="9"/>
  <c r="K332" i="9"/>
  <c r="K166" i="9"/>
  <c r="K471" i="9"/>
  <c r="I41" i="9"/>
  <c r="H511" i="9"/>
  <c r="J508" i="1"/>
  <c r="K508" i="1" s="1"/>
  <c r="L508" i="1" s="1"/>
  <c r="M508" i="1" s="1"/>
  <c r="J510" i="1"/>
  <c r="K510" i="1" s="1"/>
  <c r="L510" i="1" s="1"/>
  <c r="T515" i="1"/>
  <c r="W515" i="1"/>
  <c r="J512" i="1"/>
  <c r="K512" i="1" s="1"/>
  <c r="L512" i="1" s="1"/>
  <c r="J509" i="1"/>
  <c r="K509" i="1" s="1"/>
  <c r="L509" i="1" s="1"/>
  <c r="M509" i="1" s="1"/>
  <c r="N509" i="1" s="1"/>
  <c r="O509" i="1" s="1"/>
  <c r="J511" i="1"/>
  <c r="K511" i="1" s="1"/>
  <c r="S515" i="1"/>
  <c r="H515" i="1"/>
  <c r="I515" i="1"/>
  <c r="J513" i="1"/>
  <c r="K513" i="1" s="1"/>
  <c r="L513" i="1" s="1"/>
  <c r="M513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F20" i="7"/>
  <c r="H20" i="7" s="1"/>
  <c r="T20" i="7"/>
  <c r="U20" i="7" s="1"/>
  <c r="I20" i="3"/>
  <c r="F19" i="7"/>
  <c r="H19" i="7" s="1"/>
  <c r="T19" i="7"/>
  <c r="I19" i="3"/>
  <c r="I18" i="3"/>
  <c r="F18" i="7"/>
  <c r="H18" i="7" s="1"/>
  <c r="T18" i="7"/>
  <c r="I17" i="3"/>
  <c r="F17" i="7"/>
  <c r="H17" i="7" s="1"/>
  <c r="T17" i="7"/>
  <c r="F16" i="7"/>
  <c r="H16" i="7" s="1"/>
  <c r="T16" i="7"/>
  <c r="U16" i="7" s="1"/>
  <c r="I16" i="3"/>
  <c r="F15" i="7"/>
  <c r="H15" i="7" s="1"/>
  <c r="T15" i="7"/>
  <c r="U15" i="7" s="1"/>
  <c r="I15" i="3"/>
  <c r="I14" i="3"/>
  <c r="F14" i="7"/>
  <c r="H14" i="7" s="1"/>
  <c r="T14" i="7"/>
  <c r="F13" i="7"/>
  <c r="H13" i="7" s="1"/>
  <c r="T13" i="7"/>
  <c r="U13" i="7" s="1"/>
  <c r="I13" i="3"/>
  <c r="F11" i="7"/>
  <c r="H11" i="7" s="1"/>
  <c r="T11" i="7"/>
  <c r="I11" i="3"/>
  <c r="T10" i="7"/>
  <c r="U10" i="7" s="1"/>
  <c r="I10" i="3"/>
  <c r="F9" i="7"/>
  <c r="H9" i="7" s="1"/>
  <c r="T9" i="7"/>
  <c r="I9" i="3"/>
  <c r="S23" i="8"/>
  <c r="U23" i="8" s="1"/>
  <c r="S28" i="8"/>
  <c r="U28" i="8" s="1"/>
  <c r="C28" i="7"/>
  <c r="I492" i="1"/>
  <c r="AJ492" i="1"/>
  <c r="C27" i="7"/>
  <c r="C22" i="7"/>
  <c r="W492" i="1"/>
  <c r="G22" i="3"/>
  <c r="H495" i="1"/>
  <c r="G28" i="3"/>
  <c r="I28" i="3" s="1"/>
  <c r="E15" i="3"/>
  <c r="E11" i="3"/>
  <c r="G27" i="3"/>
  <c r="C30" i="3"/>
  <c r="H267" i="9" l="1"/>
  <c r="H88" i="9"/>
  <c r="H304" i="9"/>
  <c r="H222" i="9"/>
  <c r="H166" i="9"/>
  <c r="H410" i="9"/>
  <c r="H471" i="9"/>
  <c r="H363" i="9"/>
  <c r="H126" i="9"/>
  <c r="H44" i="9"/>
  <c r="M510" i="1"/>
  <c r="N510" i="1" s="1"/>
  <c r="M512" i="1"/>
  <c r="N512" i="1" s="1"/>
  <c r="L511" i="1"/>
  <c r="N508" i="1"/>
  <c r="O508" i="1" s="1"/>
  <c r="P508" i="1" s="1"/>
  <c r="Q508" i="1" s="1"/>
  <c r="R508" i="1" s="1"/>
  <c r="P509" i="1"/>
  <c r="Q509" i="1" s="1"/>
  <c r="K502" i="1"/>
  <c r="K515" i="1" s="1"/>
  <c r="J515" i="1"/>
  <c r="N513" i="1"/>
  <c r="L507" i="1"/>
  <c r="L506" i="1"/>
  <c r="L505" i="1"/>
  <c r="L504" i="1"/>
  <c r="L503" i="1"/>
  <c r="F28" i="7"/>
  <c r="H28" i="7" s="1"/>
  <c r="S31" i="8"/>
  <c r="U31" i="8" s="1"/>
  <c r="I22" i="3"/>
  <c r="T22" i="7"/>
  <c r="U9" i="7"/>
  <c r="U22" i="7" s="1"/>
  <c r="C30" i="7"/>
  <c r="E22" i="3"/>
  <c r="E27" i="3"/>
  <c r="I27" i="3"/>
  <c r="G30" i="3"/>
  <c r="I30" i="3" s="1"/>
  <c r="E28" i="3"/>
  <c r="O510" i="1" l="1"/>
  <c r="P510" i="1" s="1"/>
  <c r="L502" i="1"/>
  <c r="M502" i="1" s="1"/>
  <c r="O512" i="1"/>
  <c r="P512" i="1" s="1"/>
  <c r="Q512" i="1" s="1"/>
  <c r="M511" i="1"/>
  <c r="R509" i="1"/>
  <c r="O513" i="1"/>
  <c r="P513" i="1" s="1"/>
  <c r="M507" i="1"/>
  <c r="M506" i="1"/>
  <c r="N506" i="1" s="1"/>
  <c r="O506" i="1" s="1"/>
  <c r="M505" i="1"/>
  <c r="M504" i="1"/>
  <c r="M503" i="1"/>
  <c r="W22" i="7"/>
  <c r="X22" i="7" s="1"/>
  <c r="E30" i="3"/>
  <c r="Q510" i="1" l="1"/>
  <c r="R510" i="1" s="1"/>
  <c r="L515" i="1"/>
  <c r="R512" i="1"/>
  <c r="N511" i="1"/>
  <c r="N502" i="1"/>
  <c r="O502" i="1" s="1"/>
  <c r="M515" i="1"/>
  <c r="Q513" i="1"/>
  <c r="R513" i="1" s="1"/>
  <c r="N507" i="1"/>
  <c r="P506" i="1"/>
  <c r="Q506" i="1" s="1"/>
  <c r="R506" i="1" s="1"/>
  <c r="N505" i="1"/>
  <c r="N504" i="1"/>
  <c r="N503" i="1"/>
  <c r="O511" i="1" l="1"/>
  <c r="P511" i="1" s="1"/>
  <c r="P502" i="1"/>
  <c r="Q502" i="1" s="1"/>
  <c r="N515" i="1"/>
  <c r="O507" i="1"/>
  <c r="O505" i="1"/>
  <c r="P505" i="1" s="1"/>
  <c r="Q505" i="1" s="1"/>
  <c r="O504" i="1"/>
  <c r="O503" i="1"/>
  <c r="O515" i="1" l="1"/>
  <c r="Q511" i="1"/>
  <c r="R511" i="1" s="1"/>
  <c r="R502" i="1"/>
  <c r="P507" i="1"/>
  <c r="Q507" i="1" s="1"/>
  <c r="R505" i="1"/>
  <c r="P504" i="1"/>
  <c r="P503" i="1"/>
  <c r="Q503" i="1" s="1"/>
  <c r="P515" i="1" l="1"/>
  <c r="R507" i="1"/>
  <c r="Q504" i="1"/>
  <c r="R504" i="1" s="1"/>
  <c r="R503" i="1"/>
  <c r="R515" i="1" l="1"/>
  <c r="Q515" i="1"/>
  <c r="G515" i="1"/>
  <c r="U515" i="1"/>
  <c r="AO84" i="9" l="1"/>
  <c r="I85" i="9"/>
  <c r="AO510" i="9"/>
  <c r="H514" i="9" l="1"/>
  <c r="I511" i="9"/>
  <c r="M493" i="1"/>
  <c r="AO81" i="1"/>
  <c r="AA493" i="1"/>
  <c r="S493" i="1"/>
  <c r="AB493" i="1"/>
  <c r="K493" i="1"/>
  <c r="R493" i="1"/>
  <c r="AN81" i="1"/>
  <c r="L493" i="1"/>
  <c r="O493" i="1"/>
  <c r="AC493" i="1"/>
  <c r="D22" i="7"/>
  <c r="G493" i="1"/>
  <c r="U493" i="1"/>
  <c r="T493" i="1"/>
  <c r="AM492" i="1"/>
  <c r="AN492" i="1" s="1"/>
  <c r="P493" i="1"/>
  <c r="Q493" i="1"/>
  <c r="N10" i="7"/>
  <c r="N22" i="7" s="1"/>
  <c r="H82" i="1"/>
  <c r="L10" i="3" s="1"/>
  <c r="L22" i="3" s="1"/>
  <c r="N493" i="1"/>
  <c r="J493" i="1"/>
  <c r="K10" i="7"/>
  <c r="L10" i="7" s="1"/>
  <c r="K22" i="7"/>
  <c r="L22" i="7" s="1"/>
  <c r="D10" i="7"/>
  <c r="D27" i="7" s="1"/>
  <c r="D30" i="7" s="1"/>
  <c r="I44" i="9" l="1"/>
  <c r="I410" i="9"/>
  <c r="I267" i="9"/>
  <c r="I88" i="9"/>
  <c r="I363" i="9"/>
  <c r="I222" i="9"/>
  <c r="I332" i="9"/>
  <c r="I166" i="9"/>
  <c r="I471" i="9"/>
  <c r="I304" i="9"/>
  <c r="I126" i="9"/>
  <c r="H493" i="1"/>
  <c r="I493" i="1" s="1"/>
  <c r="N27" i="7"/>
  <c r="N30" i="7" s="1"/>
  <c r="AO492" i="1"/>
  <c r="AM493" i="1"/>
  <c r="AM495" i="1"/>
  <c r="K27" i="7"/>
  <c r="H496" i="1"/>
  <c r="N22" i="3"/>
  <c r="AJ23" i="8"/>
  <c r="AM11" i="8"/>
  <c r="I82" i="1"/>
  <c r="L27" i="3"/>
  <c r="O10" i="7"/>
  <c r="F10" i="7"/>
  <c r="L27" i="7" l="1"/>
  <c r="K30" i="7"/>
  <c r="L30" i="7" s="1"/>
  <c r="L30" i="3"/>
  <c r="N27" i="3"/>
  <c r="Q28" i="8"/>
  <c r="O31" i="8"/>
  <c r="Q31" i="8" s="1"/>
  <c r="N10" i="3"/>
  <c r="F27" i="7"/>
  <c r="H10" i="7"/>
  <c r="F22" i="7"/>
  <c r="H22" i="7" s="1"/>
  <c r="O27" i="7"/>
  <c r="O30" i="7" s="1"/>
  <c r="Q10" i="7"/>
  <c r="O22" i="7"/>
  <c r="H27" i="7" l="1"/>
  <c r="F30" i="7"/>
  <c r="H30" i="7" s="1"/>
  <c r="Q22" i="7"/>
  <c r="W24" i="7" s="1"/>
  <c r="X24" i="7" s="1"/>
  <c r="Q27" i="7"/>
  <c r="Q30" i="7" s="1"/>
  <c r="N30" i="3"/>
  <c r="G38" i="3"/>
  <c r="I38" i="3" s="1"/>
  <c r="V514" i="6"/>
  <c r="H514" i="6"/>
</calcChain>
</file>

<file path=xl/comments1.xml><?xml version="1.0" encoding="utf-8"?>
<comments xmlns="http://schemas.openxmlformats.org/spreadsheetml/2006/main">
  <authors>
    <author>Mary Driver</author>
    <author>Suzanne Rodgers</author>
  </authors>
  <commentList>
    <comment ref="AA23" authorId="0" shapeId="0">
      <text>
        <r>
          <rPr>
            <b/>
            <sz val="9"/>
            <color indexed="81"/>
            <rFont val="Tahoma"/>
            <family val="2"/>
          </rPr>
          <t>Mary Driver:</t>
        </r>
        <r>
          <rPr>
            <sz val="9"/>
            <color indexed="81"/>
            <rFont val="Tahoma"/>
            <family val="2"/>
          </rPr>
          <t xml:space="preserve">
Quinquennial Grant Lois Weedon</t>
        </r>
      </text>
    </comment>
    <comment ref="AA195" authorId="1" shapeId="0">
      <text>
        <r>
          <rPr>
            <b/>
            <sz val="9"/>
            <color indexed="81"/>
            <rFont val="Tahoma"/>
            <family val="2"/>
          </rPr>
          <t>Suzanne Rodgers:</t>
        </r>
        <r>
          <rPr>
            <sz val="9"/>
            <color indexed="81"/>
            <rFont val="Tahoma"/>
            <family val="2"/>
          </rPr>
          <t xml:space="preserve">
should have been Northampton St James not pisford
</t>
        </r>
      </text>
    </comment>
  </commentList>
</comments>
</file>

<file path=xl/sharedStrings.xml><?xml version="1.0" encoding="utf-8"?>
<sst xmlns="http://schemas.openxmlformats.org/spreadsheetml/2006/main" count="10002" uniqueCount="1216">
  <si>
    <t>Parish Share Paid and Activity Statistics for the Rural Deanery of Brackley</t>
  </si>
  <si>
    <t>Parish</t>
  </si>
  <si>
    <t>RM</t>
  </si>
  <si>
    <t>RF</t>
  </si>
  <si>
    <t>% Paid</t>
  </si>
  <si>
    <t>£</t>
  </si>
  <si>
    <t>Total</t>
  </si>
  <si>
    <t>Parish Share Paid and Activity Statistics for the Rural Deanery of Towcester</t>
  </si>
  <si>
    <t>Parish Share Paid and Activity Statistics for the Rural Deanery of Daventry</t>
  </si>
  <si>
    <t>Parish Share Paid and Activity Statistics for the Rural Deanery of Greater Northampton</t>
  </si>
  <si>
    <t>Parish Share Paid and Activity Statistics for the Rural Deanery of Brixworth</t>
  </si>
  <si>
    <t>Parish Share Paid and Activity Statistics for the Rural Deanery of Wellingborough</t>
  </si>
  <si>
    <t>Parish Share Paid and Activity Statistics for the Rural Deanery of Kettering</t>
  </si>
  <si>
    <t>Parish Share Paid and Activity Statistics for the Rural Deanery of Higham</t>
  </si>
  <si>
    <t>Parish Share Paid and Activity Statistics for the Rural Deanery of Corby</t>
  </si>
  <si>
    <t>Parish Share Paid and Activity Statistics for the Rural Deanery of Oundle</t>
  </si>
  <si>
    <t>Parish Share Paid and Activity Statistics for the Rural Deanery of Rutland</t>
  </si>
  <si>
    <t>Parish Share Paid and Activity Statistics for the Rural Deanery of Peterborough</t>
  </si>
  <si>
    <t>AYNHO PCC</t>
  </si>
  <si>
    <t>CROUGHTON PCC</t>
  </si>
  <si>
    <t>EVENLEY PCC</t>
  </si>
  <si>
    <t>BRACKLEY PCC</t>
  </si>
  <si>
    <t>BYFIELD PCC</t>
  </si>
  <si>
    <t>BODDINGTON PCC</t>
  </si>
  <si>
    <t>CHIPPING WARDEN PCC</t>
  </si>
  <si>
    <t>EDGCOTE PCC</t>
  </si>
  <si>
    <t>ASTON LE WALLS PCC</t>
  </si>
  <si>
    <t>CULWORTH PCC</t>
  </si>
  <si>
    <t>SULGRAVE PCC</t>
  </si>
  <si>
    <t>THORPE MANDEVILLE PCC</t>
  </si>
  <si>
    <t>FARTHINGHOE PCC</t>
  </si>
  <si>
    <t>HINTON IN THE HEDGES W STEANE</t>
  </si>
  <si>
    <t>GREATWORTH PCC</t>
  </si>
  <si>
    <t>KINGS SUTTON PCC</t>
  </si>
  <si>
    <t>NEWBOTTLE w CHARLTON PCC</t>
  </si>
  <si>
    <t>MARSTON ST LAWRENCE PCC</t>
  </si>
  <si>
    <t>WARKWORTH PCC</t>
  </si>
  <si>
    <t>THENFORD PCC</t>
  </si>
  <si>
    <t>MIDDLETON CHENEY PCC</t>
  </si>
  <si>
    <t>CHACOMBE PCC</t>
  </si>
  <si>
    <t>SYRESHAM PCC</t>
  </si>
  <si>
    <t>WHITFIELD PCC</t>
  </si>
  <si>
    <t>LOIS WEEDON w WESTON PCC</t>
  </si>
  <si>
    <t>MORETON PINKNEY PCC</t>
  </si>
  <si>
    <t>WAPPENHAM PCC</t>
  </si>
  <si>
    <t>WOODFORD HALSE PCC</t>
  </si>
  <si>
    <t>EYDON PCC</t>
  </si>
  <si>
    <t>BLAKESLEY PCC</t>
  </si>
  <si>
    <t>ADSTONE PCC</t>
  </si>
  <si>
    <t>BLISWORTH PCC</t>
  </si>
  <si>
    <t>GAYTON PCC</t>
  </si>
  <si>
    <t>TIFFIELD PCC</t>
  </si>
  <si>
    <t>GREENS NORTON PCC</t>
  </si>
  <si>
    <t>BRADDEN PCC</t>
  </si>
  <si>
    <t>LICHBOROUGH PCC</t>
  </si>
  <si>
    <t>MAIDFORD PCC</t>
  </si>
  <si>
    <t>FARTHINGSTONE PCC</t>
  </si>
  <si>
    <t>PASSENHAM w DEANSHANGER PCC</t>
  </si>
  <si>
    <t>PATTISHALL PCC</t>
  </si>
  <si>
    <t>COLD HIGHAM PCC</t>
  </si>
  <si>
    <t>POTTERSPURY w FURTHO PCC</t>
  </si>
  <si>
    <t>COSGROVE PCC</t>
  </si>
  <si>
    <t>ROADE PCC</t>
  </si>
  <si>
    <t>ASHTON PCC</t>
  </si>
  <si>
    <t>HARTWELL PCC</t>
  </si>
  <si>
    <t>SILVERSTONE PCC</t>
  </si>
  <si>
    <t>ABTHORPE PCC</t>
  </si>
  <si>
    <t>SLAPTON PCC</t>
  </si>
  <si>
    <t>STOKE BRUERNE PCC</t>
  </si>
  <si>
    <t>GRAFTON REGIS PCC</t>
  </si>
  <si>
    <t>ALDERTON PCC</t>
  </si>
  <si>
    <t>TOWCESTER  w  CALDECOTE PCC</t>
  </si>
  <si>
    <t>EASTON NESTON PCC</t>
  </si>
  <si>
    <t>WHITTLEBURY PCC</t>
  </si>
  <si>
    <t>PAULERSPURY PCC</t>
  </si>
  <si>
    <t>WICKEN PCC</t>
  </si>
  <si>
    <t>Courteenhall PCC</t>
  </si>
  <si>
    <t>Milton Malsor PCC</t>
  </si>
  <si>
    <t>BADBY PCC</t>
  </si>
  <si>
    <t>NEWNHAM PCC</t>
  </si>
  <si>
    <t>BARBY PCC</t>
  </si>
  <si>
    <t>KILSBY PCC</t>
  </si>
  <si>
    <t>BRAUNSTON PCC</t>
  </si>
  <si>
    <t>BUGBROOKE PCC</t>
  </si>
  <si>
    <t>Benefice Junction 16</t>
  </si>
  <si>
    <t>CHARWELTON PCC</t>
  </si>
  <si>
    <t>FAWSLEY PCC</t>
  </si>
  <si>
    <t>PRESTON CAPES PCC</t>
  </si>
  <si>
    <t>DAVENTRY PCC</t>
  </si>
  <si>
    <t>Daventry team</t>
  </si>
  <si>
    <t>FLORE PCC</t>
  </si>
  <si>
    <t>DODFORD PCC</t>
  </si>
  <si>
    <t>BROCKHALL PCC</t>
  </si>
  <si>
    <t>HARPOLE PCC</t>
  </si>
  <si>
    <t>HEYFORD PCC</t>
  </si>
  <si>
    <t>STOWE NINE CHURCHES PCC</t>
  </si>
  <si>
    <t>KISLINGBURY PCC</t>
  </si>
  <si>
    <t>ROTHERSTHORPE PCC</t>
  </si>
  <si>
    <t>STAVERTON PCC</t>
  </si>
  <si>
    <t>HELLIDON PCC</t>
  </si>
  <si>
    <t>CATESBY PCC</t>
  </si>
  <si>
    <t>WEEDON BEC PCC</t>
  </si>
  <si>
    <t>EVERDON PCC</t>
  </si>
  <si>
    <t>WELTON PCC</t>
  </si>
  <si>
    <t>ASHBY ST LEDGERS PCC</t>
  </si>
  <si>
    <t>ABINGTON PCC</t>
  </si>
  <si>
    <t>KINGSTHORPE PCC</t>
  </si>
  <si>
    <t>MOULTON PCC</t>
  </si>
  <si>
    <t>NORTHAMPTON ALL SAINTS</t>
  </si>
  <si>
    <t>NORTHAMPTON CHRIST CHURCH PCC</t>
  </si>
  <si>
    <t>NORTHAMPTON EMMANUEL PCC</t>
  </si>
  <si>
    <t>NORTHAMPTON HOLY SEPULCHRE PCC</t>
  </si>
  <si>
    <t>NORTHAMPTON ST ALBAN</t>
  </si>
  <si>
    <t>NORTHAMPTON ST GILES PCC</t>
  </si>
  <si>
    <t>NORTHAMPTON ST MATTHEW PCC</t>
  </si>
  <si>
    <t>NORTHAMPTON ST MICHAEL PCC</t>
  </si>
  <si>
    <t>N'TON HOLY TRINITY &amp; ST PAUL</t>
  </si>
  <si>
    <t>WESTON FAVELL PCC</t>
  </si>
  <si>
    <t>GREAT &amp; LITTLE BILLING PCC</t>
  </si>
  <si>
    <t>Dallington PCC</t>
  </si>
  <si>
    <t>Duston PCC</t>
  </si>
  <si>
    <t>Hardingstone PCC</t>
  </si>
  <si>
    <t>Living Brook Magazine</t>
  </si>
  <si>
    <t>Piddington w Horton PCC</t>
  </si>
  <si>
    <t>Kings Heath PCC</t>
  </si>
  <si>
    <t>Northampton St Benedict</t>
  </si>
  <si>
    <t>Northampton St James PCC</t>
  </si>
  <si>
    <t>Northampton St Mary PCC</t>
  </si>
  <si>
    <t>Wootton PCC</t>
  </si>
  <si>
    <t>Quinton &amp; Preston PCC</t>
  </si>
  <si>
    <t>Grange Park PCC</t>
  </si>
  <si>
    <t>ARTHINGWORTH PCC</t>
  </si>
  <si>
    <t>Faxton Group</t>
  </si>
  <si>
    <t>HARRINGTON PCC</t>
  </si>
  <si>
    <t>OXENDON PCC</t>
  </si>
  <si>
    <t>EAST FARNDON PCC</t>
  </si>
  <si>
    <t>BRIXWORTH PCC</t>
  </si>
  <si>
    <t>HOLCOT PCC</t>
  </si>
  <si>
    <t>CHURCH w CHAPEL BRAMPTON</t>
  </si>
  <si>
    <t>HARLESTONE PCC</t>
  </si>
  <si>
    <t>EAST HADDON w HOLDENBY PCC</t>
  </si>
  <si>
    <t>CLIPSTON PCC</t>
  </si>
  <si>
    <t>NASEBY PCC</t>
  </si>
  <si>
    <t>HASELBECH PCC</t>
  </si>
  <si>
    <t>KELMARSH PCC</t>
  </si>
  <si>
    <t>COTTESBROOKE PCC</t>
  </si>
  <si>
    <t>GREAT CREATON PCC</t>
  </si>
  <si>
    <t>THORNBY PCC</t>
  </si>
  <si>
    <t>CRICK PCC</t>
  </si>
  <si>
    <t>YELVERTOFT w CLAY COTON PCC</t>
  </si>
  <si>
    <t>LILBOURNE PCC</t>
  </si>
  <si>
    <t>GUILSBOROUGH PCC</t>
  </si>
  <si>
    <t>COLD ASHBY PCC</t>
  </si>
  <si>
    <t>LONG BUCKBY PCC</t>
  </si>
  <si>
    <t>WATFORD PCC</t>
  </si>
  <si>
    <t>MAIDWELL PCC</t>
  </si>
  <si>
    <t>DRAUGHTON PCC</t>
  </si>
  <si>
    <t>SCALDWELL PCC</t>
  </si>
  <si>
    <t>LAMPORT W FAXTON PCC</t>
  </si>
  <si>
    <t>PITSFORD PCC</t>
  </si>
  <si>
    <t>BOUGHTON PCC</t>
  </si>
  <si>
    <t>RAVENSTHORPE PCC</t>
  </si>
  <si>
    <t>SPRATTON PCC</t>
  </si>
  <si>
    <t>WALGRAVE PCC</t>
  </si>
  <si>
    <t>HANNINGTON PCC</t>
  </si>
  <si>
    <t>WOLD PCC</t>
  </si>
  <si>
    <t>WELFORD PCC</t>
  </si>
  <si>
    <t>SIBBERTOFT PCC</t>
  </si>
  <si>
    <t>MARSTON TRUSSELL PCC</t>
  </si>
  <si>
    <t>WEST HADDON PCC</t>
  </si>
  <si>
    <t>WINWICK PCC</t>
  </si>
  <si>
    <t>BRINGTON PCC</t>
  </si>
  <si>
    <t>WHILTON PCC</t>
  </si>
  <si>
    <t>NORTON PCC</t>
  </si>
  <si>
    <t>Hollowell PCC</t>
  </si>
  <si>
    <t>BOZEAT PCC</t>
  </si>
  <si>
    <t>EASTON MAUDIT PCC</t>
  </si>
  <si>
    <t>EARLS BARTON PCC</t>
  </si>
  <si>
    <t>ECTON PCC</t>
  </si>
  <si>
    <t>GREAT DODDINGTON PCC</t>
  </si>
  <si>
    <t>WILBY PCC</t>
  </si>
  <si>
    <t>GREAT HARROWDEN PCC</t>
  </si>
  <si>
    <t>LITTLE HARROWDEN PCC</t>
  </si>
  <si>
    <t>ORLINGBURY PCC</t>
  </si>
  <si>
    <t>HARDWICK PCC</t>
  </si>
  <si>
    <t>MEARS ASHBY PCC</t>
  </si>
  <si>
    <t>Wellingborough All Hallows</t>
  </si>
  <si>
    <t>WELLINGBOROUGH ALL SAINTS PCC</t>
  </si>
  <si>
    <t>WELLINGBOROUGH ST ANDREW PCC</t>
  </si>
  <si>
    <t>WELLINGBOROUGH ST BARNABAS PCC</t>
  </si>
  <si>
    <t>WELLINGBOROUGH ST MARK PCC</t>
  </si>
  <si>
    <t>WELLINGBOROUGH ST MARY PCC</t>
  </si>
  <si>
    <t>WOLLASTON W STRIXTON PCC</t>
  </si>
  <si>
    <t>SYWELL w OVERSTONE PCC</t>
  </si>
  <si>
    <t>GLENEAGLES PCC</t>
  </si>
  <si>
    <t>ISHAM PCC</t>
  </si>
  <si>
    <t>PYTCHLEY PCC</t>
  </si>
  <si>
    <t>Cogenhoe PCC</t>
  </si>
  <si>
    <t>Great Houghton PCC</t>
  </si>
  <si>
    <t>Little Houghton PCC</t>
  </si>
  <si>
    <t>Brafield on the Green PCC</t>
  </si>
  <si>
    <t>Yardley Hastings PCC</t>
  </si>
  <si>
    <t>Denton PCC</t>
  </si>
  <si>
    <t>Grendon PCC</t>
  </si>
  <si>
    <t>Castle Ashby PCC</t>
  </si>
  <si>
    <t>Whiston PCC</t>
  </si>
  <si>
    <t>Irchester with Stanton Cross PCC</t>
  </si>
  <si>
    <t>BARTON SEAGRAVE PCC</t>
  </si>
  <si>
    <t>WARKTON PCC</t>
  </si>
  <si>
    <t>BRAMPTON ASH PCC</t>
  </si>
  <si>
    <t>DINGLEY PCC</t>
  </si>
  <si>
    <t>BRAYBROOKE PCC</t>
  </si>
  <si>
    <t>BROUGHTON PCC</t>
  </si>
  <si>
    <t>LODDINGTON PCC</t>
  </si>
  <si>
    <t>CRANSLEY PCC</t>
  </si>
  <si>
    <t>THORPE MALSOR PCC</t>
  </si>
  <si>
    <t>BURTON LATIMER PCC</t>
  </si>
  <si>
    <t>CRANFORD PCC</t>
  </si>
  <si>
    <t>GRAFTON UNDERWOOD PCC</t>
  </si>
  <si>
    <t>TWYWELL PCC</t>
  </si>
  <si>
    <t>DESBOROUGH PCC</t>
  </si>
  <si>
    <t>GEDDINGTON PCC</t>
  </si>
  <si>
    <t>WEEKLEY PCC</t>
  </si>
  <si>
    <t>KETTERING ALL SAINTS PCC</t>
  </si>
  <si>
    <t>KETTERING ST ANDREW PCC</t>
  </si>
  <si>
    <t>KETTERING ST MARY PCC</t>
  </si>
  <si>
    <t>KETTERING SS PETER &amp; PAUL PCC</t>
  </si>
  <si>
    <t>ROTHWELL W ORTON PCC</t>
  </si>
  <si>
    <t>RUSHTON GLENDON &amp; PIPEWELL PCC</t>
  </si>
  <si>
    <t>KETTERING CHRIST THE KING PCC</t>
  </si>
  <si>
    <t>SLIPTON PCC</t>
  </si>
  <si>
    <t>RINGSTEAD PCC</t>
  </si>
  <si>
    <t>FINEDON PCC</t>
  </si>
  <si>
    <t>GREAT ADDINGTON PCC</t>
  </si>
  <si>
    <t>LITTLE ADDINGTON PCC</t>
  </si>
  <si>
    <t>HIGHAM FERRERS PCC</t>
  </si>
  <si>
    <t>CHELVESTON PCC</t>
  </si>
  <si>
    <t>IRTHLINGBOROUGH PCC</t>
  </si>
  <si>
    <t>RAUNDS PCC</t>
  </si>
  <si>
    <t>RUSHDEN ST MARY PCC</t>
  </si>
  <si>
    <t>WHITEFRIARS</t>
  </si>
  <si>
    <t>NEWTON BROMSWOLD PCC</t>
  </si>
  <si>
    <t>STANWICK PCC</t>
  </si>
  <si>
    <t>HARGRAVE PCC</t>
  </si>
  <si>
    <t>WOODFORD PCC</t>
  </si>
  <si>
    <t>RUSHDEN ST PETER PCC</t>
  </si>
  <si>
    <t>ASHLEY PCC</t>
  </si>
  <si>
    <t>WESTON-BY-WELLAND PCC</t>
  </si>
  <si>
    <t>SUTTON BASSETT PCC</t>
  </si>
  <si>
    <t>BRIGSTOCK PCC</t>
  </si>
  <si>
    <t>STANION PCC</t>
  </si>
  <si>
    <t>CORBY ST COLUMBA PCC</t>
  </si>
  <si>
    <t>CORBY ST PETER &amp; ST ANDREW PCC</t>
  </si>
  <si>
    <t>GREAT &amp; LITTLE OAKLEY PCC</t>
  </si>
  <si>
    <t>COTTINGHAM PCC</t>
  </si>
  <si>
    <t>EAST CARLTON PCC</t>
  </si>
  <si>
    <t>GRETTON PCC</t>
  </si>
  <si>
    <t>ROCKINGHAM PCC</t>
  </si>
  <si>
    <t>STOKE ALBANY PCC</t>
  </si>
  <si>
    <t>WILBARSTON PCC</t>
  </si>
  <si>
    <t>WELDON W DEENE PCC</t>
  </si>
  <si>
    <t>LOWICK PCC</t>
  </si>
  <si>
    <t>SUDBOROUGH PCC</t>
  </si>
  <si>
    <t>Corby The Epiphany w Corby St John</t>
  </si>
  <si>
    <t>ALDWINCLE PCC</t>
  </si>
  <si>
    <t>THORPE ACHURCH PCC</t>
  </si>
  <si>
    <t>PILTON PCC (OUNDLE)</t>
  </si>
  <si>
    <t>WADENHOE PCC</t>
  </si>
  <si>
    <t>STOKE DOYLE PCC</t>
  </si>
  <si>
    <t>BARNWELL PCC</t>
  </si>
  <si>
    <t>THURNING PCC</t>
  </si>
  <si>
    <t>LUDDINGTON PCC</t>
  </si>
  <si>
    <t>BENEFIELD PCC</t>
  </si>
  <si>
    <t>SOUTHWICK PCC</t>
  </si>
  <si>
    <t>GLAPTHORN PCC</t>
  </si>
  <si>
    <t>NASSINGTON PCC</t>
  </si>
  <si>
    <t>YARWELL PCC</t>
  </si>
  <si>
    <t>WOODNEWTON PCC</t>
  </si>
  <si>
    <t>OUNDLE PCC</t>
  </si>
  <si>
    <t>POLEBROOK PCC</t>
  </si>
  <si>
    <t>LUTTON PCC</t>
  </si>
  <si>
    <t>HEMINGTON PCC</t>
  </si>
  <si>
    <t>TANSOR PCC</t>
  </si>
  <si>
    <t>COTTERSTOCK PCC</t>
  </si>
  <si>
    <t>FOTHERINGHAY PCC</t>
  </si>
  <si>
    <t>WARMINGTON PCC</t>
  </si>
  <si>
    <t>CLOPTON PCC</t>
  </si>
  <si>
    <t>TITCHMARSH PCC</t>
  </si>
  <si>
    <t>APETHORPE PCC</t>
  </si>
  <si>
    <t>DENFORD PCC</t>
  </si>
  <si>
    <t>ISLIP PCC</t>
  </si>
  <si>
    <t>THRAPSTON PCC</t>
  </si>
  <si>
    <t>BULWICK &amp; BLATHERWYCKE PCC</t>
  </si>
  <si>
    <t>LAXTON PCC</t>
  </si>
  <si>
    <t>KING'S CLIFFE PCC</t>
  </si>
  <si>
    <t>THORNHAUGH W WANSFORD PCC</t>
  </si>
  <si>
    <t>EASTON ON THE HILL PCC</t>
  </si>
  <si>
    <t>COLLYWESTON PCC</t>
  </si>
  <si>
    <t>Oundle Deanery</t>
  </si>
  <si>
    <t>ASHWELL PCC</t>
  </si>
  <si>
    <t>EDITH WESTON PCC</t>
  </si>
  <si>
    <t>NORTH LUFFENHAM PCC</t>
  </si>
  <si>
    <t>LYNDON PCC</t>
  </si>
  <si>
    <t>MANTON PCC</t>
  </si>
  <si>
    <t>EMPINGHAM PCC</t>
  </si>
  <si>
    <t>EXTON PCC</t>
  </si>
  <si>
    <t>WHITWELL PCC</t>
  </si>
  <si>
    <t>GREETHAM PCC</t>
  </si>
  <si>
    <t>STRETTON PCC</t>
  </si>
  <si>
    <t>CLIPSHAM PCC</t>
  </si>
  <si>
    <t>LANGHAM PCC</t>
  </si>
  <si>
    <t>LYDDINGTON PCC</t>
  </si>
  <si>
    <t>STOKE DRY PCC</t>
  </si>
  <si>
    <t>SEATON PCC</t>
  </si>
  <si>
    <t>GLASTON PCC</t>
  </si>
  <si>
    <t>BISBROOKE PCC</t>
  </si>
  <si>
    <t>OAKHAM PCC</t>
  </si>
  <si>
    <t>HAMBLETON PCC</t>
  </si>
  <si>
    <t>EGLETON PCC</t>
  </si>
  <si>
    <t>BRAUNSTON IN RUTLAND PCC</t>
  </si>
  <si>
    <t>BROOKE PCC</t>
  </si>
  <si>
    <t>PRESTON PCC</t>
  </si>
  <si>
    <t>RIDLINGTON PCC</t>
  </si>
  <si>
    <t>WING PCC</t>
  </si>
  <si>
    <t>PILTON PCC (RUTLAND)</t>
  </si>
  <si>
    <t>TEIGH PCC</t>
  </si>
  <si>
    <t>WHISSENDINE PCC</t>
  </si>
  <si>
    <t>MARKET OVERTON PCC</t>
  </si>
  <si>
    <t>UPPINGHAM w AYSTON PCC</t>
  </si>
  <si>
    <t>BELTON w WARDLEY PCC</t>
  </si>
  <si>
    <t>CALDECOTT PCC</t>
  </si>
  <si>
    <t>BARROWDEN &amp; WAKERLEY PCC</t>
  </si>
  <si>
    <t>SOUTH LUFFENHAM PCC</t>
  </si>
  <si>
    <t>DUDDINGTON PCC</t>
  </si>
  <si>
    <t>TIXOVER PCC</t>
  </si>
  <si>
    <t>LITTLE CASTERTON PCC</t>
  </si>
  <si>
    <t>PICKWORTH PCC</t>
  </si>
  <si>
    <t>KETTON PCC</t>
  </si>
  <si>
    <t>RYHALL PCC</t>
  </si>
  <si>
    <t>ESSENDINE PCC</t>
  </si>
  <si>
    <t>TINWELL PCC</t>
  </si>
  <si>
    <t>CARLBY PCC</t>
  </si>
  <si>
    <t>MORCOTT PCC</t>
  </si>
  <si>
    <t>HARRINGWORTH PCC</t>
  </si>
  <si>
    <t>CASTOR W UPTON PCC</t>
  </si>
  <si>
    <t>SUTTON PCC</t>
  </si>
  <si>
    <t>ETTON PCC</t>
  </si>
  <si>
    <t>HELPSTON PCC</t>
  </si>
  <si>
    <t>Helpston unallocated</t>
  </si>
  <si>
    <t>EYE PCC</t>
  </si>
  <si>
    <t>LONGTHORPE PCC</t>
  </si>
  <si>
    <t>MARHOLM PCC</t>
  </si>
  <si>
    <t>MAXEY PCC</t>
  </si>
  <si>
    <t>NORTHBOROUGH PCC</t>
  </si>
  <si>
    <t>NEWBOROUGH PCC</t>
  </si>
  <si>
    <t>PASTON PCC</t>
  </si>
  <si>
    <t>PEAKIRK PCC</t>
  </si>
  <si>
    <t>GLINTON PCC</t>
  </si>
  <si>
    <t>PETERBOROUGH ALL SAINTS PCC</t>
  </si>
  <si>
    <t>BRETTON PCC</t>
  </si>
  <si>
    <t>PETERBORO CHRIST CARPENTER PCC</t>
  </si>
  <si>
    <t>PETERBORO ST JOHN BAPTIST PCC</t>
  </si>
  <si>
    <t>PETERBOROUGH ST JUDE PCC</t>
  </si>
  <si>
    <t>PETERBOROUGH ST MARK PCC</t>
  </si>
  <si>
    <t>PETERBOROUGH ST MARY'S PCC</t>
  </si>
  <si>
    <t>PETERBOROUGH ST PAUL PCC</t>
  </si>
  <si>
    <t>WERRINGTON PCC</t>
  </si>
  <si>
    <t>BARNACK w UFFORD PCC</t>
  </si>
  <si>
    <t>BAINTON PCC</t>
  </si>
  <si>
    <t>WITTERING PCC</t>
  </si>
  <si>
    <t>Thorney PCC</t>
  </si>
  <si>
    <t>Peterborough Cathedral</t>
  </si>
  <si>
    <t>O/S</t>
  </si>
  <si>
    <t>COTTESMORE BARROW &amp; BURLEY w THISTLETON PCC</t>
  </si>
  <si>
    <t>ASTWELL BENEFICE</t>
  </si>
  <si>
    <t>GREAT CASTERTON AND TICKENCOTE PCC</t>
  </si>
  <si>
    <t>Collingtree PCC</t>
  </si>
  <si>
    <t>P10230</t>
  </si>
  <si>
    <t>Benefice</t>
  </si>
  <si>
    <t>B10101</t>
  </si>
  <si>
    <t>B10102</t>
  </si>
  <si>
    <t>B10103</t>
  </si>
  <si>
    <t>B10104</t>
  </si>
  <si>
    <t>B10105</t>
  </si>
  <si>
    <t>B10106</t>
  </si>
  <si>
    <t>B10107</t>
  </si>
  <si>
    <t>B10201</t>
  </si>
  <si>
    <t>B10202</t>
  </si>
  <si>
    <t>B10204</t>
  </si>
  <si>
    <t>B10205</t>
  </si>
  <si>
    <t>B10206</t>
  </si>
  <si>
    <t>B10207</t>
  </si>
  <si>
    <t>B10208</t>
  </si>
  <si>
    <t>B10209</t>
  </si>
  <si>
    <t>B10301</t>
  </si>
  <si>
    <t>B10304</t>
  </si>
  <si>
    <t>B10305</t>
  </si>
  <si>
    <t>B10306</t>
  </si>
  <si>
    <t>B10308</t>
  </si>
  <si>
    <t>B10501</t>
  </si>
  <si>
    <t>B10502</t>
  </si>
  <si>
    <t>B10503</t>
  </si>
  <si>
    <t>B10504</t>
  </si>
  <si>
    <t>B10505</t>
  </si>
  <si>
    <t>B10506</t>
  </si>
  <si>
    <t>B10507</t>
  </si>
  <si>
    <t>B10510</t>
  </si>
  <si>
    <t>B10511</t>
  </si>
  <si>
    <t>B10511X</t>
  </si>
  <si>
    <t>B10512</t>
  </si>
  <si>
    <t>B10516</t>
  </si>
  <si>
    <t>B10517</t>
  </si>
  <si>
    <t>B10518</t>
  </si>
  <si>
    <t>B10519</t>
  </si>
  <si>
    <t>B10520</t>
  </si>
  <si>
    <t>B10521</t>
  </si>
  <si>
    <t>B10523</t>
  </si>
  <si>
    <t>B10524</t>
  </si>
  <si>
    <t>B10525</t>
  </si>
  <si>
    <t>B10601</t>
  </si>
  <si>
    <t>B10602</t>
  </si>
  <si>
    <t>B10603</t>
  </si>
  <si>
    <t>B10606</t>
  </si>
  <si>
    <t>B10607</t>
  </si>
  <si>
    <t>B10608</t>
  </si>
  <si>
    <t>B10610</t>
  </si>
  <si>
    <t>B10612</t>
  </si>
  <si>
    <t>B10604</t>
  </si>
  <si>
    <t>B10702</t>
  </si>
  <si>
    <t>B10704</t>
  </si>
  <si>
    <t>B10705</t>
  </si>
  <si>
    <t>B10706</t>
  </si>
  <si>
    <t>B10707a</t>
  </si>
  <si>
    <t>B10708</t>
  </si>
  <si>
    <t>B10709</t>
  </si>
  <si>
    <t>B10711</t>
  </si>
  <si>
    <t>B10712</t>
  </si>
  <si>
    <t>B10713</t>
  </si>
  <si>
    <t>B10714</t>
  </si>
  <si>
    <t>B10715</t>
  </si>
  <si>
    <t>B10717</t>
  </si>
  <si>
    <t>B20801</t>
  </si>
  <si>
    <t>B20802</t>
  </si>
  <si>
    <t>B20803</t>
  </si>
  <si>
    <t>B20804</t>
  </si>
  <si>
    <t>B20805</t>
  </si>
  <si>
    <t>B20806</t>
  </si>
  <si>
    <t>B20809</t>
  </si>
  <si>
    <t>B20810</t>
  </si>
  <si>
    <t>B20811</t>
  </si>
  <si>
    <t>B20812</t>
  </si>
  <si>
    <t>B20813</t>
  </si>
  <si>
    <t>B20902</t>
  </si>
  <si>
    <t>B20903</t>
  </si>
  <si>
    <t>B20904</t>
  </si>
  <si>
    <t>B20908</t>
  </si>
  <si>
    <t>B20909</t>
  </si>
  <si>
    <t>B20912</t>
  </si>
  <si>
    <t>B20913</t>
  </si>
  <si>
    <t>B21001</t>
  </si>
  <si>
    <t>B21002</t>
  </si>
  <si>
    <t>B21003</t>
  </si>
  <si>
    <t>B21004</t>
  </si>
  <si>
    <t>B21007</t>
  </si>
  <si>
    <t>B21008</t>
  </si>
  <si>
    <t>B21101</t>
  </si>
  <si>
    <t>B21106</t>
  </si>
  <si>
    <t>B21107</t>
  </si>
  <si>
    <t>B21108</t>
  </si>
  <si>
    <t>B21109</t>
  </si>
  <si>
    <t>B21110</t>
  </si>
  <si>
    <t>B21105</t>
  </si>
  <si>
    <t>B21202</t>
  </si>
  <si>
    <t>B21204</t>
  </si>
  <si>
    <t>B21206</t>
  </si>
  <si>
    <t>B21208</t>
  </si>
  <si>
    <t>B21211</t>
  </si>
  <si>
    <t>B21212</t>
  </si>
  <si>
    <t>B21214</t>
  </si>
  <si>
    <t>B21215</t>
  </si>
  <si>
    <t>B21216</t>
  </si>
  <si>
    <t>B21403</t>
  </si>
  <si>
    <t>B21401</t>
  </si>
  <si>
    <t>B21402</t>
  </si>
  <si>
    <t>B21407</t>
  </si>
  <si>
    <t>B21412</t>
  </si>
  <si>
    <t>B21415</t>
  </si>
  <si>
    <t>B21417</t>
  </si>
  <si>
    <t>B21404</t>
  </si>
  <si>
    <t>B21409</t>
  </si>
  <si>
    <t>B21410</t>
  </si>
  <si>
    <t>B21413</t>
  </si>
  <si>
    <t>B21414</t>
  </si>
  <si>
    <t>B21416</t>
  </si>
  <si>
    <t>B21418</t>
  </si>
  <si>
    <t>Y</t>
  </si>
  <si>
    <t>P10101</t>
  </si>
  <si>
    <t>P10102</t>
  </si>
  <si>
    <t>P10103</t>
  </si>
  <si>
    <t>P10104</t>
  </si>
  <si>
    <t>P10105</t>
  </si>
  <si>
    <t>P10106</t>
  </si>
  <si>
    <t>P10107</t>
  </si>
  <si>
    <t>P10108</t>
  </si>
  <si>
    <t>P10109</t>
  </si>
  <si>
    <t>P10110</t>
  </si>
  <si>
    <t>P10111</t>
  </si>
  <si>
    <t>P10112</t>
  </si>
  <si>
    <t>P10113</t>
  </si>
  <si>
    <t>P10114</t>
  </si>
  <si>
    <t>P10115</t>
  </si>
  <si>
    <t>P10116</t>
  </si>
  <si>
    <t>P10117</t>
  </si>
  <si>
    <t>P10118</t>
  </si>
  <si>
    <t>P10119</t>
  </si>
  <si>
    <t>P10120</t>
  </si>
  <si>
    <t>P10121</t>
  </si>
  <si>
    <t>P10122</t>
  </si>
  <si>
    <t>P10123</t>
  </si>
  <si>
    <t>P10124</t>
  </si>
  <si>
    <t>P10125</t>
  </si>
  <si>
    <t>P10126</t>
  </si>
  <si>
    <t>P10127</t>
  </si>
  <si>
    <t>P10128</t>
  </si>
  <si>
    <t>P10129</t>
  </si>
  <si>
    <t>P10130</t>
  </si>
  <si>
    <t>P10201</t>
  </si>
  <si>
    <t>P10202</t>
  </si>
  <si>
    <t>P10203</t>
  </si>
  <si>
    <t>P10204</t>
  </si>
  <si>
    <t>P10205</t>
  </si>
  <si>
    <t>P10206</t>
  </si>
  <si>
    <t>P10207</t>
  </si>
  <si>
    <t>P10208</t>
  </si>
  <si>
    <t>P10209</t>
  </si>
  <si>
    <t>P10210</t>
  </si>
  <si>
    <t>P10211</t>
  </si>
  <si>
    <t>P10212</t>
  </si>
  <si>
    <t>P10213</t>
  </si>
  <si>
    <t>P10214</t>
  </si>
  <si>
    <t>P10215</t>
  </si>
  <si>
    <t>P10216</t>
  </si>
  <si>
    <t>P10217</t>
  </si>
  <si>
    <t>P10218</t>
  </si>
  <si>
    <t>P10219</t>
  </si>
  <si>
    <t>P10220</t>
  </si>
  <si>
    <t>P10221</t>
  </si>
  <si>
    <t>P10222</t>
  </si>
  <si>
    <t>P10223</t>
  </si>
  <si>
    <t>P10224</t>
  </si>
  <si>
    <t>P10225</t>
  </si>
  <si>
    <t>P10226</t>
  </si>
  <si>
    <t>P10227</t>
  </si>
  <si>
    <t>P10228</t>
  </si>
  <si>
    <t>P10229</t>
  </si>
  <si>
    <t>P10231</t>
  </si>
  <si>
    <t>P10232</t>
  </si>
  <si>
    <t>P10301</t>
  </si>
  <si>
    <t>P10302</t>
  </si>
  <si>
    <t>P10303</t>
  </si>
  <si>
    <t>P10304</t>
  </si>
  <si>
    <t>P10305</t>
  </si>
  <si>
    <t>P10309</t>
  </si>
  <si>
    <t>P10309a</t>
  </si>
  <si>
    <t>P10310</t>
  </si>
  <si>
    <t>P10311</t>
  </si>
  <si>
    <t>P10312</t>
  </si>
  <si>
    <t>P10313</t>
  </si>
  <si>
    <t>P10313 Un</t>
  </si>
  <si>
    <t>P10314</t>
  </si>
  <si>
    <t>P10315</t>
  </si>
  <si>
    <t>P10316</t>
  </si>
  <si>
    <t>P10317</t>
  </si>
  <si>
    <t>P10318</t>
  </si>
  <si>
    <t>P10319</t>
  </si>
  <si>
    <t>P10320</t>
  </si>
  <si>
    <t>P10321</t>
  </si>
  <si>
    <t>P10322</t>
  </si>
  <si>
    <t>P10323</t>
  </si>
  <si>
    <t>P10324</t>
  </si>
  <si>
    <t>P10325</t>
  </si>
  <si>
    <t>P10326</t>
  </si>
  <si>
    <t>P10327</t>
  </si>
  <si>
    <t>P10328</t>
  </si>
  <si>
    <t>P10501</t>
  </si>
  <si>
    <t>P10504</t>
  </si>
  <si>
    <t>P10505</t>
  </si>
  <si>
    <t>P10506</t>
  </si>
  <si>
    <t>P10507</t>
  </si>
  <si>
    <t>P10508</t>
  </si>
  <si>
    <t>P10509</t>
  </si>
  <si>
    <t>P10511</t>
  </si>
  <si>
    <t>P10512</t>
  </si>
  <si>
    <t>P10513</t>
  </si>
  <si>
    <t>P10514</t>
  </si>
  <si>
    <t>P10515</t>
  </si>
  <si>
    <t>P10517</t>
  </si>
  <si>
    <t>P10518</t>
  </si>
  <si>
    <t>P10519</t>
  </si>
  <si>
    <t>P10520</t>
  </si>
  <si>
    <t>P10521</t>
  </si>
  <si>
    <t>P10521 Un</t>
  </si>
  <si>
    <t>P10523</t>
  </si>
  <si>
    <t>P10524</t>
  </si>
  <si>
    <t>P10525</t>
  </si>
  <si>
    <t>P10526</t>
  </si>
  <si>
    <t>P10527</t>
  </si>
  <si>
    <t>P10528</t>
  </si>
  <si>
    <t>P10529</t>
  </si>
  <si>
    <t>P10530</t>
  </si>
  <si>
    <t>P10601</t>
  </si>
  <si>
    <t>P10601Un</t>
  </si>
  <si>
    <t>P10602</t>
  </si>
  <si>
    <t>P10603</t>
  </si>
  <si>
    <t>P10604</t>
  </si>
  <si>
    <t>P10605</t>
  </si>
  <si>
    <t>P10606</t>
  </si>
  <si>
    <t>P10607</t>
  </si>
  <si>
    <t>P10608</t>
  </si>
  <si>
    <t>P10609</t>
  </si>
  <si>
    <t>P10610</t>
  </si>
  <si>
    <t>P10611</t>
  </si>
  <si>
    <t>P10612</t>
  </si>
  <si>
    <t>P10613</t>
  </si>
  <si>
    <t>P10614</t>
  </si>
  <si>
    <t>P10615</t>
  </si>
  <si>
    <t>P10616</t>
  </si>
  <si>
    <t>P10617</t>
  </si>
  <si>
    <t>P10618</t>
  </si>
  <si>
    <t>P10619</t>
  </si>
  <si>
    <t>P10620</t>
  </si>
  <si>
    <t>P10621</t>
  </si>
  <si>
    <t>P10622</t>
  </si>
  <si>
    <t>P10623</t>
  </si>
  <si>
    <t>P10624</t>
  </si>
  <si>
    <t>P10625</t>
  </si>
  <si>
    <t>P10626</t>
  </si>
  <si>
    <t>P10627</t>
  </si>
  <si>
    <t>y</t>
  </si>
  <si>
    <t>P10628</t>
  </si>
  <si>
    <t>P10629</t>
  </si>
  <si>
    <t>P10630</t>
  </si>
  <si>
    <t>P10631</t>
  </si>
  <si>
    <t>P10632</t>
  </si>
  <si>
    <t>P10633</t>
  </si>
  <si>
    <t>P10634</t>
  </si>
  <si>
    <t>P10635</t>
  </si>
  <si>
    <t>P10636</t>
  </si>
  <si>
    <t>P10637</t>
  </si>
  <si>
    <t>P10638</t>
  </si>
  <si>
    <t>P10639</t>
  </si>
  <si>
    <t>P10640</t>
  </si>
  <si>
    <t>P10641</t>
  </si>
  <si>
    <t>P10642</t>
  </si>
  <si>
    <t>P10643</t>
  </si>
  <si>
    <t>P10701</t>
  </si>
  <si>
    <t>P10702</t>
  </si>
  <si>
    <t>P10703</t>
  </si>
  <si>
    <t>P10704</t>
  </si>
  <si>
    <t>P10705</t>
  </si>
  <si>
    <t>P10706</t>
  </si>
  <si>
    <t>P10707</t>
  </si>
  <si>
    <t>P10708</t>
  </si>
  <si>
    <t>P10709</t>
  </si>
  <si>
    <t>P10710</t>
  </si>
  <si>
    <t>P10711</t>
  </si>
  <si>
    <t>P10712</t>
  </si>
  <si>
    <t>P10713</t>
  </si>
  <si>
    <t>P10714</t>
  </si>
  <si>
    <t>P10715</t>
  </si>
  <si>
    <t>P10716</t>
  </si>
  <si>
    <t>P10717</t>
  </si>
  <si>
    <t>P10718</t>
  </si>
  <si>
    <t>P10720</t>
  </si>
  <si>
    <t>P10722</t>
  </si>
  <si>
    <t>P10723</t>
  </si>
  <si>
    <t>P10724</t>
  </si>
  <si>
    <t>P10725</t>
  </si>
  <si>
    <t>P10726</t>
  </si>
  <si>
    <t>P10727</t>
  </si>
  <si>
    <t>P10728</t>
  </si>
  <si>
    <t>P10729</t>
  </si>
  <si>
    <t>P10730</t>
  </si>
  <si>
    <t>P10731</t>
  </si>
  <si>
    <t>P10732</t>
  </si>
  <si>
    <t>P10733</t>
  </si>
  <si>
    <t>P10734</t>
  </si>
  <si>
    <t>P20801</t>
  </si>
  <si>
    <t>P20802</t>
  </si>
  <si>
    <t>P20803</t>
  </si>
  <si>
    <t>P20804</t>
  </si>
  <si>
    <t>P20805</t>
  </si>
  <si>
    <t>P20806</t>
  </si>
  <si>
    <t>P20807</t>
  </si>
  <si>
    <t>P20808</t>
  </si>
  <si>
    <t>P20809</t>
  </si>
  <si>
    <t>P20810</t>
  </si>
  <si>
    <t>P20811</t>
  </si>
  <si>
    <t>P20812</t>
  </si>
  <si>
    <t>P20813</t>
  </si>
  <si>
    <t>P20814</t>
  </si>
  <si>
    <t>P20815</t>
  </si>
  <si>
    <t>P20816</t>
  </si>
  <si>
    <t>P20819</t>
  </si>
  <si>
    <t>P20820</t>
  </si>
  <si>
    <t>P20821</t>
  </si>
  <si>
    <t>P20822</t>
  </si>
  <si>
    <t>P20823</t>
  </si>
  <si>
    <t>P20824</t>
  </si>
  <si>
    <t>P20825</t>
  </si>
  <si>
    <t>P20826</t>
  </si>
  <si>
    <t>P20902</t>
  </si>
  <si>
    <t>P20903</t>
  </si>
  <si>
    <t>P20904</t>
  </si>
  <si>
    <t>P20905</t>
  </si>
  <si>
    <t>P20906</t>
  </si>
  <si>
    <t>P20907</t>
  </si>
  <si>
    <t>P20909</t>
  </si>
  <si>
    <t>P20914</t>
  </si>
  <si>
    <t>P20915</t>
  </si>
  <si>
    <t>P20915a</t>
  </si>
  <si>
    <t>P20916</t>
  </si>
  <si>
    <t>P20917</t>
  </si>
  <si>
    <t>P20918</t>
  </si>
  <si>
    <t>P20921</t>
  </si>
  <si>
    <t>P20922</t>
  </si>
  <si>
    <t>P21001</t>
  </si>
  <si>
    <t>P21002</t>
  </si>
  <si>
    <t>P21003</t>
  </si>
  <si>
    <t>P21004</t>
  </si>
  <si>
    <t>P21005</t>
  </si>
  <si>
    <t>P21006</t>
  </si>
  <si>
    <t>P21007</t>
  </si>
  <si>
    <t>P21008</t>
  </si>
  <si>
    <t>P21010</t>
  </si>
  <si>
    <t>P21011</t>
  </si>
  <si>
    <t>P21012</t>
  </si>
  <si>
    <t>P21013</t>
  </si>
  <si>
    <t>P21015</t>
  </si>
  <si>
    <t>P21016</t>
  </si>
  <si>
    <t>P21017</t>
  </si>
  <si>
    <t>P21018</t>
  </si>
  <si>
    <t>P21019</t>
  </si>
  <si>
    <t>P21020</t>
  </si>
  <si>
    <t>P21101</t>
  </si>
  <si>
    <t>P21102</t>
  </si>
  <si>
    <t>P21103</t>
  </si>
  <si>
    <t>P21104</t>
  </si>
  <si>
    <t>P21105</t>
  </si>
  <si>
    <t>P21106</t>
  </si>
  <si>
    <t>P21107</t>
  </si>
  <si>
    <t>P21108</t>
  </si>
  <si>
    <t>P21109</t>
  </si>
  <si>
    <t>P21110</t>
  </si>
  <si>
    <t>P21111</t>
  </si>
  <si>
    <t>P21112</t>
  </si>
  <si>
    <t>P21113</t>
  </si>
  <si>
    <t>P21114</t>
  </si>
  <si>
    <t>P21115</t>
  </si>
  <si>
    <t>P21116</t>
  </si>
  <si>
    <t>P21117</t>
  </si>
  <si>
    <t>P21118</t>
  </si>
  <si>
    <t>P21119</t>
  </si>
  <si>
    <t>P21120</t>
  </si>
  <si>
    <t>P21121</t>
  </si>
  <si>
    <t>P21122</t>
  </si>
  <si>
    <t>P21123</t>
  </si>
  <si>
    <t>P21124</t>
  </si>
  <si>
    <t>P21125</t>
  </si>
  <si>
    <t>P21126</t>
  </si>
  <si>
    <t>P21127</t>
  </si>
  <si>
    <t>P21128</t>
  </si>
  <si>
    <t>P21129</t>
  </si>
  <si>
    <t>P21131</t>
  </si>
  <si>
    <t>P21132</t>
  </si>
  <si>
    <t>P21133</t>
  </si>
  <si>
    <t>P21134</t>
  </si>
  <si>
    <t>P21135</t>
  </si>
  <si>
    <t>P21170</t>
  </si>
  <si>
    <t>P21201</t>
  </si>
  <si>
    <t>P21202</t>
  </si>
  <si>
    <t>P21203</t>
  </si>
  <si>
    <t>P21204</t>
  </si>
  <si>
    <t>P21205</t>
  </si>
  <si>
    <t>P21206</t>
  </si>
  <si>
    <t>P21207</t>
  </si>
  <si>
    <t>P21208</t>
  </si>
  <si>
    <t>P21209</t>
  </si>
  <si>
    <t>P21210</t>
  </si>
  <si>
    <t>P21212</t>
  </si>
  <si>
    <t>P21213</t>
  </si>
  <si>
    <t>P21214</t>
  </si>
  <si>
    <t>P21215</t>
  </si>
  <si>
    <t>P21216</t>
  </si>
  <si>
    <t>P21217</t>
  </si>
  <si>
    <t>P21219</t>
  </si>
  <si>
    <t>P21220</t>
  </si>
  <si>
    <t>P21221</t>
  </si>
  <si>
    <t>P21222</t>
  </si>
  <si>
    <t>P21223</t>
  </si>
  <si>
    <t>P21224</t>
  </si>
  <si>
    <t>P21225</t>
  </si>
  <si>
    <t>P21226</t>
  </si>
  <si>
    <t>P21227</t>
  </si>
  <si>
    <t>P21228</t>
  </si>
  <si>
    <t>P21229</t>
  </si>
  <si>
    <t>P21230</t>
  </si>
  <si>
    <t>P21231</t>
  </si>
  <si>
    <t>P21232</t>
  </si>
  <si>
    <t>P21233</t>
  </si>
  <si>
    <t>P21236</t>
  </si>
  <si>
    <t>P21237</t>
  </si>
  <si>
    <t>P21238</t>
  </si>
  <si>
    <t>P21239</t>
  </si>
  <si>
    <t>P21244</t>
  </si>
  <si>
    <t>P21245</t>
  </si>
  <si>
    <t>P21246</t>
  </si>
  <si>
    <t>P21247</t>
  </si>
  <si>
    <t>P21248</t>
  </si>
  <si>
    <t>P21250</t>
  </si>
  <si>
    <t>P21251</t>
  </si>
  <si>
    <t>P21252</t>
  </si>
  <si>
    <t>P21253</t>
  </si>
  <si>
    <t>P21255</t>
  </si>
  <si>
    <t>P21256</t>
  </si>
  <si>
    <t>P21257</t>
  </si>
  <si>
    <t>P21401</t>
  </si>
  <si>
    <t>P21402</t>
  </si>
  <si>
    <t>P21404</t>
  </si>
  <si>
    <t>P21405</t>
  </si>
  <si>
    <t>P21405 Un</t>
  </si>
  <si>
    <t>P21406</t>
  </si>
  <si>
    <t>P21407</t>
  </si>
  <si>
    <t>P21408</t>
  </si>
  <si>
    <t>P21409</t>
  </si>
  <si>
    <t>P21410</t>
  </si>
  <si>
    <t>P21411</t>
  </si>
  <si>
    <t>P21412</t>
  </si>
  <si>
    <t>P21413</t>
  </si>
  <si>
    <t>P21414</t>
  </si>
  <si>
    <t>P21415</t>
  </si>
  <si>
    <t>P21416</t>
  </si>
  <si>
    <t>P21417</t>
  </si>
  <si>
    <t>P21419</t>
  </si>
  <si>
    <t>P21420</t>
  </si>
  <si>
    <t>P21421</t>
  </si>
  <si>
    <t>P21422</t>
  </si>
  <si>
    <t>P21423</t>
  </si>
  <si>
    <t>P21424</t>
  </si>
  <si>
    <t>P21425</t>
  </si>
  <si>
    <t>P21427</t>
  </si>
  <si>
    <t>P21430</t>
  </si>
  <si>
    <t>P21431</t>
  </si>
  <si>
    <t>P21499</t>
  </si>
  <si>
    <t>DEANERY</t>
  </si>
  <si>
    <t>TOTAL</t>
  </si>
  <si>
    <t>BALANCE</t>
  </si>
  <si>
    <t>DUE</t>
  </si>
  <si>
    <t>OUTSTANDING</t>
  </si>
  <si>
    <t>RECEIVED</t>
  </si>
  <si>
    <t xml:space="preserve"> </t>
  </si>
  <si>
    <t>%</t>
  </si>
  <si>
    <t>TOWCESTER</t>
  </si>
  <si>
    <t xml:space="preserve">DAVENTRY        </t>
  </si>
  <si>
    <t>GT NORTHAMPTON</t>
  </si>
  <si>
    <t>BRIXWORTH</t>
  </si>
  <si>
    <t>WELLINGBOROUGH</t>
  </si>
  <si>
    <t>KETTERING</t>
  </si>
  <si>
    <t>HIGHAM</t>
  </si>
  <si>
    <t>CORBY</t>
  </si>
  <si>
    <t>OUNDLE</t>
  </si>
  <si>
    <t>RUTLAND</t>
  </si>
  <si>
    <t>PETERBOROUGH</t>
  </si>
  <si>
    <t>ARCHDEACONRY</t>
  </si>
  <si>
    <t>NORTHAMPTON</t>
  </si>
  <si>
    <t>OAKHAM</t>
  </si>
  <si>
    <t>Money</t>
  </si>
  <si>
    <t>}</t>
  </si>
  <si>
    <t>% age</t>
  </si>
  <si>
    <t>?.0</t>
  </si>
  <si>
    <t>BRACKLEY</t>
  </si>
  <si>
    <t>2019 Parish Share final position</t>
  </si>
  <si>
    <t>2018 Parish Share final position</t>
  </si>
  <si>
    <t>2017 Parish Share final position</t>
  </si>
  <si>
    <t>Brackley</t>
  </si>
  <si>
    <t>Aynho &amp; Croughton w Evenley &amp; Farthinghoe &amp; Hinton-in-the-Hedges w Steane</t>
  </si>
  <si>
    <t>Byfield w Boddington &amp; Aston-le-Walls Woodford Halse w Eydon</t>
  </si>
  <si>
    <t>Helmdon w Stuchbury and Radstone and Syresham w Whitfield w Lois Weedon w Weston &amp; Plumpton &amp; Wappenham</t>
  </si>
  <si>
    <t>Kings Sutton and Newbottle w Charlton</t>
  </si>
  <si>
    <t>Towcester</t>
  </si>
  <si>
    <t>Blakesley w Adstone &amp; Maidford &amp; Farthingstone and Litchborough</t>
  </si>
  <si>
    <t>Blisworth &amp; Stoke Bruerne w Grafton Regis &amp; Alderton &amp; Milton Malsor</t>
  </si>
  <si>
    <t>Passenham w Deanshanger</t>
  </si>
  <si>
    <t>Pattishall w Cold Higham &amp; Gayton w Tiffield</t>
  </si>
  <si>
    <t>Potterspury w Furtho &amp; Yardley Gobion w Cosgrove &amp; Wicken</t>
  </si>
  <si>
    <t>Silverstone &amp; Abthorpe w Slapton &amp; Whittlebury w Paulerspury</t>
  </si>
  <si>
    <t>Towcester w Caldecote &amp; Easton Neston plus Greens Norton and Bradden</t>
  </si>
  <si>
    <t>Daventry</t>
  </si>
  <si>
    <t>Badby w Newnham &amp; Charwelton w Fawsley &amp; Preston Capes</t>
  </si>
  <si>
    <t>Bugbrooke,Harpole,Kislingbury and Rothersthorpe</t>
  </si>
  <si>
    <t>Heyford w Stowe-Nine-Churches &amp; Flore w Brockhall</t>
  </si>
  <si>
    <t>Weedon Bec w Everdon &amp; Dodford</t>
  </si>
  <si>
    <t>Greater Northampton</t>
  </si>
  <si>
    <t>Abington</t>
  </si>
  <si>
    <t>Billing</t>
  </si>
  <si>
    <t>Kingsthorpe</t>
  </si>
  <si>
    <t>Moulton</t>
  </si>
  <si>
    <t>Northampton All Saints w St Katharine &amp; St Peter</t>
  </si>
  <si>
    <t>Northampton (Christ Church) St Crispin Group</t>
  </si>
  <si>
    <t>Northampton Emmanuel</t>
  </si>
  <si>
    <t>Northampton St Alban the Martyr</t>
  </si>
  <si>
    <t>Northampton St Giles</t>
  </si>
  <si>
    <t>Northampton St Matthew</t>
  </si>
  <si>
    <t>Weston Favell</t>
  </si>
  <si>
    <t>Dallington &amp; Northampton St James</t>
  </si>
  <si>
    <t>Duston and Upton</t>
  </si>
  <si>
    <t>Hardingstone &amp; Horton &amp; Piddington &amp; Quinton &amp; Preston</t>
  </si>
  <si>
    <t>Kings Heath</t>
  </si>
  <si>
    <t>Northampton St Mary the Virgin</t>
  </si>
  <si>
    <t xml:space="preserve">Wootton </t>
  </si>
  <si>
    <t>Grange Park</t>
  </si>
  <si>
    <t>Brixworth</t>
  </si>
  <si>
    <t>Arthingworth &amp; Harrington w Oxendon &amp; East Farndon with Maidwell w Draughton &amp; Lamport w Faxton</t>
  </si>
  <si>
    <t>Brixworth w Holcot</t>
  </si>
  <si>
    <t>Brington w Whilton &amp; Norton and Church Brampton w Chapel Brampton &amp; Harlestone &amp; East Haddon &amp; Holdenby</t>
  </si>
  <si>
    <t>Clipston w Naseby &amp; Haselbech &amp; Kelmarsh, Welford w Sibbertoft &amp; Marston Trussell</t>
  </si>
  <si>
    <t>Crick &amp; Yelvertoft w Clay Coton &amp; Lilbourne</t>
  </si>
  <si>
    <t>Guilsborough &amp; Hollowell &amp; Cold Ashby and Cottesbrooke w Gt Creaton &amp; Thornby &amp; Spratton &amp; Ravensthorpe</t>
  </si>
  <si>
    <t>Long Buckby w Watford plus West Haddon with Winwick</t>
  </si>
  <si>
    <t>Pitsford w Boughton</t>
  </si>
  <si>
    <t>Walgrave w Hannington &amp; Wold &amp; Scaldwell</t>
  </si>
  <si>
    <t>Wellingborough</t>
  </si>
  <si>
    <t>Earls Barton</t>
  </si>
  <si>
    <t>Great Doddington &amp; Wilby plus Ecton</t>
  </si>
  <si>
    <t>Great Harrowden w Little Harrowden &amp; Orlingbury &amp; Isham w Pytchley</t>
  </si>
  <si>
    <t>Mears Ashby &amp; Hardwick &amp; Sywell w Overstone</t>
  </si>
  <si>
    <t xml:space="preserve">Gleneagles </t>
  </si>
  <si>
    <t xml:space="preserve">Wellingborough All Saints w Wellingborough All Hallows </t>
  </si>
  <si>
    <t>Wellingborough St Andrew w St Barnabas</t>
  </si>
  <si>
    <t>Wellingborough St Mark</t>
  </si>
  <si>
    <t>Wellingborough St Mary</t>
  </si>
  <si>
    <t>Wollaston w Strixton &amp; Bozeat &amp; Easton Maudit</t>
  </si>
  <si>
    <t>Cogenhoe &amp; Great Houghton &amp; Little Houghton w Brafield on the Green</t>
  </si>
  <si>
    <t>Yardley Hastings, Denton &amp; Grendon w Castle Ashby &amp; Whiston</t>
  </si>
  <si>
    <t>Irchester with Stanton Cross</t>
  </si>
  <si>
    <t>Kettering</t>
  </si>
  <si>
    <t>Barton Seagrave w Warkton</t>
  </si>
  <si>
    <t xml:space="preserve">Broughton &amp; Cransley </t>
  </si>
  <si>
    <t>Burton Latimer</t>
  </si>
  <si>
    <t>Cranford w Grafton Underwood &amp; Twywell plus Slipton</t>
  </si>
  <si>
    <t>Desborough; Brampton Ash; Dingley &amp; Braybrooke</t>
  </si>
  <si>
    <t>Geddington w Weekley</t>
  </si>
  <si>
    <t>B20808</t>
  </si>
  <si>
    <t>Kettering Christ the King</t>
  </si>
  <si>
    <t>Kettering St Andrew</t>
  </si>
  <si>
    <t>Kettering St Mary the Virgin</t>
  </si>
  <si>
    <t xml:space="preserve">Kettering St Peter &amp; St Paul with St Michael &amp; All Angels </t>
  </si>
  <si>
    <t>Rothwell w Orton &amp; Rushton w Glendon &amp; Pipewell &amp; Loddington &amp; Thorpe Malsor</t>
  </si>
  <si>
    <t>Higham</t>
  </si>
  <si>
    <t>Finedon</t>
  </si>
  <si>
    <t>Great Addington w Little Addington &amp; Woodford &amp; Irthlingborough</t>
  </si>
  <si>
    <t>Higham Ferrers w Chelveston</t>
  </si>
  <si>
    <t>Raunds, Hargrave, Ringstead &amp; Stanwick</t>
  </si>
  <si>
    <t>Rushden St Mary w Newton Bromswold</t>
  </si>
  <si>
    <t>Rushden St Peter</t>
  </si>
  <si>
    <t>Rushden Whitefriars</t>
  </si>
  <si>
    <t>Corby</t>
  </si>
  <si>
    <t>Brigstock w Stanion &amp; Lowick &amp; Sudborough</t>
  </si>
  <si>
    <t>Corby St Columba and the Northern Saints</t>
  </si>
  <si>
    <t>Corby St Peter and St Andrew w Great and Little Oakley</t>
  </si>
  <si>
    <t>Corby The Epiphany w St John the Baptist</t>
  </si>
  <si>
    <t>B21006</t>
  </si>
  <si>
    <t>Stoke Albany w Wilbarston &amp; Ashley w Weston-by-Welland w Sutton Bassett</t>
  </si>
  <si>
    <t>Weldon w Deene</t>
  </si>
  <si>
    <t>Oundle</t>
  </si>
  <si>
    <t>Aldwincle, Clopton, Pilton, Stoke Doyle, Thorpe Achurch, Titchmarsh &amp; Wadenhoe</t>
  </si>
  <si>
    <t>Nassington w Yarwell &amp; Woodnewton w Apethorpe and Thornhaugh w Wansford</t>
  </si>
  <si>
    <t>Oundle w Ashton &amp; Benefield w Glapthorn</t>
  </si>
  <si>
    <t>Barnwell, Hemington, Luddington in the Brook, Lutton, Polebrook &amp; Thurning</t>
  </si>
  <si>
    <t>Warmington, Tansor &amp; Cotterstock &amp; Fotheringhay &amp; Southwick</t>
  </si>
  <si>
    <t>Thrapston, Denford &amp; Islip</t>
  </si>
  <si>
    <t>King's Cliffe plus Bulwick and Laxton with Collyweston and Easton on the Hill</t>
  </si>
  <si>
    <t>Rutland</t>
  </si>
  <si>
    <t xml:space="preserve">Edith Weston w North Luffenham &amp; Lyndon w Manton plus Empingham and Whitwell plus Preston &amp; Ridlington &amp; Pilton &amp; Wing </t>
  </si>
  <si>
    <t>Greetham &amp; Thistleton w Stretton &amp; Clipsham plus Cottesmore, B and B plus Exton</t>
  </si>
  <si>
    <t>Lyddington w Stoke Dry &amp; Seaton w Caldecott &amp; Glaston &amp; Bisbrooke plus Harringworth</t>
  </si>
  <si>
    <t>Oakham (w Hambleton &amp; Egleton &amp; Braunston w Brooke &amp; Teigh &amp; Whissendine &amp; Market Overton &amp; Ashwell &amp; Langham) Team</t>
  </si>
  <si>
    <t>Uppingham w Ayston &amp; Wardley w Belton</t>
  </si>
  <si>
    <t>Barrowden &amp; Wakerley w South Luffenham &amp; Morcott w Duddington &amp; Tixover</t>
  </si>
  <si>
    <t xml:space="preserve">Great Casterton &amp; Little Casterton w Pickworth &amp; Tickencote </t>
  </si>
  <si>
    <t>Ketton w Tinwell</t>
  </si>
  <si>
    <t>Ryhall w Essendine &amp; Carlby</t>
  </si>
  <si>
    <t>Peterborough</t>
  </si>
  <si>
    <t>Bretton</t>
  </si>
  <si>
    <t>Castor w Upton &amp; Stibbington &amp; Water Newton, Marholm &amp; Sutton</t>
  </si>
  <si>
    <t>Glinton,Etton &amp; Maxey plus Peakirk &amp; Northborough</t>
  </si>
  <si>
    <t>Eye plus Newborough and Thorney</t>
  </si>
  <si>
    <t>B21405</t>
  </si>
  <si>
    <t>Longthorpe</t>
  </si>
  <si>
    <t>Paston</t>
  </si>
  <si>
    <t>Peterborough All Saints</t>
  </si>
  <si>
    <t>Peterborough Christ the Carpenter</t>
  </si>
  <si>
    <t>Peterborough St John the Baptist w Peterborough Cathedral</t>
  </si>
  <si>
    <t>Peterborough St Jude</t>
  </si>
  <si>
    <t xml:space="preserve">Peterborough St Mark </t>
  </si>
  <si>
    <t>Peterborough St Mary</t>
  </si>
  <si>
    <t>Peterborough St Paul</t>
  </si>
  <si>
    <t>Werrington</t>
  </si>
  <si>
    <t>Barnack w Ufford &amp; Bainton &amp; Wittering &amp; Helpston</t>
  </si>
  <si>
    <t>Northampton Archdeaconry Total</t>
  </si>
  <si>
    <t>Oakham Archdeaconry Total</t>
  </si>
  <si>
    <t>Diocesan Total</t>
  </si>
  <si>
    <t xml:space="preserve">(Over) / </t>
  </si>
  <si>
    <t>PETERBOROUGH DIOCESAN BOARD OF FINANCE</t>
  </si>
  <si>
    <t xml:space="preserve">PARISH </t>
  </si>
  <si>
    <t>PARISH</t>
  </si>
  <si>
    <t>UNPAID</t>
  </si>
  <si>
    <t>PAID</t>
  </si>
  <si>
    <t>NORTHAMPTON ARCHDEACONRY</t>
  </si>
  <si>
    <t xml:space="preserve">Brackley           </t>
  </si>
  <si>
    <t xml:space="preserve">Towcester          </t>
  </si>
  <si>
    <t xml:space="preserve">Daventry           </t>
  </si>
  <si>
    <t xml:space="preserve">Northampton        </t>
  </si>
  <si>
    <t xml:space="preserve">Brixworth          </t>
  </si>
  <si>
    <t xml:space="preserve">Wellingborough     </t>
  </si>
  <si>
    <t>OAKHAM ARCHDEACONRY</t>
  </si>
  <si>
    <t xml:space="preserve">Kettering          </t>
  </si>
  <si>
    <t xml:space="preserve">Higham             </t>
  </si>
  <si>
    <t xml:space="preserve">Corby              </t>
  </si>
  <si>
    <t xml:space="preserve">Rutland                                            </t>
  </si>
  <si>
    <t xml:space="preserve">Peterborough       </t>
  </si>
  <si>
    <t xml:space="preserve">DIOCESAN TOTAL     </t>
  </si>
  <si>
    <t>Notes</t>
  </si>
  <si>
    <t>SHARE 2020</t>
  </si>
  <si>
    <t>PY &gt;100%</t>
  </si>
  <si>
    <t>CY &gt;100%</t>
  </si>
  <si>
    <t>CY =100%</t>
  </si>
  <si>
    <t>PY =100%</t>
  </si>
  <si>
    <t>Share DD</t>
  </si>
  <si>
    <t>Accts</t>
  </si>
  <si>
    <t xml:space="preserve">£ </t>
  </si>
  <si>
    <t xml:space="preserve">2020 Share </t>
  </si>
  <si>
    <t xml:space="preserve">2020 Paid </t>
  </si>
  <si>
    <t xml:space="preserve">% Paid </t>
  </si>
  <si>
    <t xml:space="preserve">Outstanding </t>
  </si>
  <si>
    <t>SHARE 2021</t>
  </si>
  <si>
    <t xml:space="preserve">2021 Benefice </t>
  </si>
  <si>
    <t>2020 SHARE</t>
  </si>
  <si>
    <t>2021 PARISH SHARE</t>
  </si>
  <si>
    <t>2020 Parish Share final position</t>
  </si>
  <si>
    <t>Request</t>
  </si>
  <si>
    <t xml:space="preserve">2021 Share </t>
  </si>
  <si>
    <t xml:space="preserve">2021 Paid </t>
  </si>
  <si>
    <t xml:space="preserve">RECEIVED </t>
  </si>
  <si>
    <t xml:space="preserve">2021 </t>
  </si>
  <si>
    <t xml:space="preserve">2020 </t>
  </si>
  <si>
    <t>Total 2021</t>
  </si>
  <si>
    <t>Total 2020</t>
  </si>
  <si>
    <t>YEAR TO DATE</t>
  </si>
  <si>
    <t>2021 SHARE</t>
  </si>
  <si>
    <t>O/S 2021</t>
  </si>
  <si>
    <t>O/S 2020</t>
  </si>
  <si>
    <t>2020 YTD</t>
  </si>
  <si>
    <t>2021 - 2020</t>
  </si>
  <si>
    <t>Difference</t>
  </si>
  <si>
    <t>between 2021</t>
  </si>
  <si>
    <t>and 2020</t>
  </si>
  <si>
    <t>Green = 2021 is higher than 2020</t>
  </si>
  <si>
    <t>Up</t>
  </si>
  <si>
    <t>Down</t>
  </si>
  <si>
    <t>Same</t>
  </si>
  <si>
    <t>INFORMATION AS AT 30 JUNE 2021</t>
  </si>
  <si>
    <t>2020 PARISH SHARE INFORMATION</t>
  </si>
  <si>
    <t>Jan - Jun</t>
  </si>
  <si>
    <t>in 2021</t>
  </si>
  <si>
    <t>Jul - Dec</t>
  </si>
  <si>
    <t>FORECAST</t>
  </si>
  <si>
    <t>REQUEST</t>
  </si>
  <si>
    <t>Jan-Jun</t>
  </si>
  <si>
    <t>Jul-Dec</t>
  </si>
  <si>
    <t>UPDATED FORECAST</t>
  </si>
  <si>
    <t>Est 77.5% - Neil Robertson 27.7.21</t>
  </si>
  <si>
    <t>Est 75% - Geoff Wenmouth 23.7.21</t>
  </si>
  <si>
    <t>Est 68.5% - Hilary Creek 27.7.21</t>
  </si>
  <si>
    <t>Robin Baker working on it</t>
  </si>
  <si>
    <t>Est £1.05m - Norman Critchlow - 26.7.21</t>
  </si>
  <si>
    <t>Katrina Hutchins working on it</t>
  </si>
  <si>
    <t>Est 85% - David Walsh 23.7.21</t>
  </si>
  <si>
    <t>Est 81.5% - Chris Youngman 23.7.21</t>
  </si>
  <si>
    <t>Est 88% - Robert Gregory-Smith 18.6.21</t>
  </si>
  <si>
    <t>Requested</t>
  </si>
  <si>
    <t>2021</t>
  </si>
  <si>
    <t>2020</t>
  </si>
  <si>
    <t>2019</t>
  </si>
  <si>
    <t>2018</t>
  </si>
  <si>
    <t>2017</t>
  </si>
  <si>
    <t>Orange = 2021 is lower than 2020</t>
  </si>
  <si>
    <t>Parishes</t>
  </si>
  <si>
    <t>&gt;100%</t>
  </si>
  <si>
    <t>90-99%</t>
  </si>
  <si>
    <t>80-89%</t>
  </si>
  <si>
    <t>70-79%</t>
  </si>
  <si>
    <t>60-69%</t>
  </si>
  <si>
    <t>50-59%</t>
  </si>
  <si>
    <t>40-49%</t>
  </si>
  <si>
    <t>30-39%</t>
  </si>
  <si>
    <t>20-29%</t>
  </si>
  <si>
    <t>10-19%</t>
  </si>
  <si>
    <t>under 10%</t>
  </si>
  <si>
    <t>other</t>
  </si>
  <si>
    <t>s/b 6900</t>
  </si>
  <si>
    <t>s/b 0</t>
  </si>
  <si>
    <t>&gt;= 80.52%</t>
  </si>
  <si>
    <t>422 fees</t>
  </si>
  <si>
    <t>104 o/p</t>
  </si>
  <si>
    <t>215 o/p</t>
  </si>
  <si>
    <t>312 QQG</t>
  </si>
  <si>
    <t>op</t>
  </si>
  <si>
    <t>parishes</t>
  </si>
  <si>
    <t>17 rec</t>
  </si>
  <si>
    <t>17 req</t>
  </si>
  <si>
    <t>18 rec</t>
  </si>
  <si>
    <t>18 req</t>
  </si>
  <si>
    <t>19 rec</t>
  </si>
  <si>
    <t>19 req</t>
  </si>
  <si>
    <t>20 rec</t>
  </si>
  <si>
    <t>20 req</t>
  </si>
  <si>
    <t>No Deaneries paid in full in 2021 (2020 - None).</t>
  </si>
  <si>
    <t>2021 PARISH SHARE INFORMATION AS AT 22 FEBRUARY 2022</t>
  </si>
  <si>
    <t>Roade &amp; Ashton w Hartwell &amp; Courteenhall</t>
  </si>
  <si>
    <t>Collingtree</t>
  </si>
  <si>
    <t>B10511x</t>
  </si>
  <si>
    <t>28 Benefices paid in full out of a total of 119 (2020 - 33 out of 119).</t>
  </si>
  <si>
    <t xml:space="preserve">Additionally, 7 Benefices (2020 - 3) chose to make additional payment above the Parish Share requested. </t>
  </si>
  <si>
    <t>2021 PARISH SHARE PAYMENT SUMMARY</t>
  </si>
  <si>
    <t>Of 352 parishes, 177 paid at least 100% of their Parish Share request in full (2020 - 169).</t>
  </si>
  <si>
    <t>Green = 2022 is higher than 2021</t>
  </si>
  <si>
    <t>Orange = 2022 is lower than 2021</t>
  </si>
  <si>
    <t>between 2022</t>
  </si>
  <si>
    <t>and 2021</t>
  </si>
  <si>
    <t>2022 - 2021</t>
  </si>
  <si>
    <t>2021 YTD</t>
  </si>
  <si>
    <t>Total 2022</t>
  </si>
  <si>
    <t xml:space="preserve">2022 Share </t>
  </si>
  <si>
    <t xml:space="preserve">2022 Paid </t>
  </si>
  <si>
    <t>2022</t>
  </si>
  <si>
    <t>2022 PARISH SHARE</t>
  </si>
  <si>
    <t>HELMDON PCC</t>
  </si>
  <si>
    <t>O/S 2022</t>
  </si>
  <si>
    <t>P10116a</t>
  </si>
  <si>
    <t>Diocesan Total 2022</t>
  </si>
  <si>
    <t>Diocesan Total 2021</t>
  </si>
  <si>
    <t>21 rec</t>
  </si>
  <si>
    <t>21 req</t>
  </si>
  <si>
    <t>January</t>
  </si>
  <si>
    <t>February</t>
  </si>
  <si>
    <t>March</t>
  </si>
  <si>
    <t>April</t>
  </si>
  <si>
    <t>May</t>
  </si>
  <si>
    <t>June</t>
  </si>
  <si>
    <t>July</t>
  </si>
  <si>
    <t>To Jan</t>
  </si>
  <si>
    <t>To Feb</t>
  </si>
  <si>
    <t>To Mar</t>
  </si>
  <si>
    <t>To Apr</t>
  </si>
  <si>
    <t>To May</t>
  </si>
  <si>
    <t>To Jun</t>
  </si>
  <si>
    <t>To Jul</t>
  </si>
  <si>
    <t>EXCEL</t>
  </si>
  <si>
    <t>SAP DEBT</t>
  </si>
  <si>
    <t>Tow</t>
  </si>
  <si>
    <t>Gt Nton</t>
  </si>
  <si>
    <t>Brack</t>
  </si>
  <si>
    <t>Dav</t>
  </si>
  <si>
    <t>Brix</t>
  </si>
  <si>
    <t>Well</t>
  </si>
  <si>
    <t>Kett</t>
  </si>
  <si>
    <t>High</t>
  </si>
  <si>
    <t>Corb</t>
  </si>
  <si>
    <t>Oun</t>
  </si>
  <si>
    <t>Rut</t>
  </si>
  <si>
    <t>Pete</t>
  </si>
  <si>
    <t>August</t>
  </si>
  <si>
    <t>To Aug</t>
  </si>
  <si>
    <t xml:space="preserve">corrected in </t>
  </si>
  <si>
    <t>Feb</t>
  </si>
  <si>
    <t>corrected in June</t>
  </si>
  <si>
    <t>400 - typo</t>
  </si>
  <si>
    <t>GRACE CHURCH, DUSTON</t>
  </si>
  <si>
    <t>P10505a</t>
  </si>
  <si>
    <t xml:space="preserve">2022 Benefice </t>
  </si>
  <si>
    <t>B10505x</t>
  </si>
  <si>
    <t>Grace Church, Duston</t>
  </si>
  <si>
    <t xml:space="preserve">Share Paid £ </t>
  </si>
  <si>
    <t xml:space="preserve">Share £ </t>
  </si>
  <si>
    <t xml:space="preserve">Under Paid £ </t>
  </si>
  <si>
    <t xml:space="preserve">Share paid £ </t>
  </si>
  <si>
    <t>Culworth &amp; Chipping Warden w Edgcote &amp; Moreton Pinkney</t>
  </si>
  <si>
    <t>Middleton Cheney w Chacombe &amp; Greatworth &amp; Marston St Lawrence w Warkworth &amp; Thenford &amp; Sulgrave &amp; Thorpe Mandeville</t>
  </si>
  <si>
    <t>B10302</t>
  </si>
  <si>
    <t>B10303</t>
  </si>
  <si>
    <t>B10307</t>
  </si>
  <si>
    <t>Braunston, Ashby St Ledgers and Welton</t>
  </si>
  <si>
    <t>Barby and Kilsby</t>
  </si>
  <si>
    <t>Daventry Holy Cross</t>
  </si>
  <si>
    <t>Catesby, Hellidon and Staverton</t>
  </si>
  <si>
    <t>Astwell</t>
  </si>
  <si>
    <t>Grace Church</t>
  </si>
  <si>
    <t>2022 PARISH SHARE INFORMATION AS AT 31 DECEMBER 2022</t>
  </si>
  <si>
    <t>RECEIVED IN FEBRUARY</t>
  </si>
  <si>
    <t>RECEIVED IN MARCH</t>
  </si>
  <si>
    <t>&gt;= 80.82%</t>
  </si>
  <si>
    <t>&gt;= 81.00%</t>
  </si>
  <si>
    <t>BRACKLEY (added Astwell benefice separately)</t>
  </si>
  <si>
    <t>INFORMATION AS AT 31 DECEMBER - ALSO INCLUDES AMOUNTS RECEIVED IN JANUARY AND FEBRUARY RELATING TO PRIOR YEAR</t>
  </si>
  <si>
    <t>AFTER FEBRUARY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</si>
</sst>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£&quot;#,##0.00_);\(&quot;£&quot;#,##0.00\)"/>
    <numFmt numFmtId="165" formatCode="&quot;£&quot;#,##0.00"/>
    <numFmt numFmtId="166" formatCode="&quot;£&quot;#,##0"/>
    <numFmt numFmtId="167" formatCode="#,##0.00\ ;\(#,##0.00\);\-\ "/>
    <numFmt numFmtId="168" formatCode="#,##0;[Red]#,##0"/>
    <numFmt numFmtId="169" formatCode="#,###"/>
    <numFmt numFmtId="170" formatCode="#,##0\ ;\(#,##0\);\-\ "/>
  </numFmts>
  <fonts count="3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3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/>
    <xf numFmtId="17" fontId="3" fillId="0" borderId="0" xfId="0" applyNumberFormat="1" applyFont="1"/>
    <xf numFmtId="4" fontId="0" fillId="0" borderId="0" xfId="0" applyNumberFormat="1"/>
    <xf numFmtId="164" fontId="0" fillId="0" borderId="0" xfId="0" applyNumberFormat="1"/>
    <xf numFmtId="9" fontId="0" fillId="0" borderId="0" xfId="5" applyFont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4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0" fillId="0" borderId="0" xfId="4" applyNumberFormat="1" applyFont="1"/>
    <xf numFmtId="165" fontId="3" fillId="0" borderId="0" xfId="4" applyNumberFormat="1" applyFont="1"/>
    <xf numFmtId="165" fontId="0" fillId="0" borderId="0" xfId="0" applyNumberFormat="1" applyFill="1"/>
    <xf numFmtId="0" fontId="6" fillId="0" borderId="0" xfId="0" applyFont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166" fontId="0" fillId="0" borderId="0" xfId="4" applyNumberFormat="1" applyFont="1"/>
    <xf numFmtId="166" fontId="3" fillId="0" borderId="0" xfId="4" applyNumberFormat="1" applyFont="1"/>
    <xf numFmtId="166" fontId="0" fillId="0" borderId="0" xfId="0" applyNumberFormat="1" applyFill="1"/>
    <xf numFmtId="166" fontId="6" fillId="0" borderId="0" xfId="0" applyNumberFormat="1" applyFont="1" applyAlignment="1">
      <alignment horizontal="center"/>
    </xf>
    <xf numFmtId="167" fontId="0" fillId="0" borderId="0" xfId="0" applyNumberFormat="1"/>
    <xf numFmtId="10" fontId="0" fillId="0" borderId="0" xfId="5" applyNumberFormat="1" applyFont="1"/>
    <xf numFmtId="0" fontId="10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Continuous"/>
    </xf>
    <xf numFmtId="0" fontId="10" fillId="0" borderId="0" xfId="6" applyFont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1" xfId="1" applyFont="1" applyBorder="1"/>
    <xf numFmtId="0" fontId="10" fillId="0" borderId="2" xfId="1" applyFont="1" applyBorder="1"/>
    <xf numFmtId="0" fontId="11" fillId="0" borderId="2" xfId="1" applyFont="1" applyBorder="1" applyAlignment="1">
      <alignment horizontal="center"/>
    </xf>
    <xf numFmtId="0" fontId="10" fillId="0" borderId="3" xfId="1" applyFont="1" applyBorder="1"/>
    <xf numFmtId="0" fontId="10" fillId="0" borderId="0" xfId="1" applyFont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Continuous"/>
    </xf>
    <xf numFmtId="0" fontId="9" fillId="0" borderId="4" xfId="1" applyFont="1" applyBorder="1" applyAlignment="1">
      <alignment horizontal="centerContinuous"/>
    </xf>
    <xf numFmtId="0" fontId="10" fillId="0" borderId="5" xfId="1" applyFont="1" applyBorder="1"/>
    <xf numFmtId="0" fontId="10" fillId="0" borderId="0" xfId="1" applyFont="1" applyBorder="1" applyAlignment="1">
      <alignment horizontal="centerContinuous"/>
    </xf>
    <xf numFmtId="16" fontId="9" fillId="0" borderId="0" xfId="1" applyNumberFormat="1" applyFont="1" applyAlignment="1">
      <alignment horizontal="center"/>
    </xf>
    <xf numFmtId="0" fontId="10" fillId="0" borderId="4" xfId="1" applyFont="1" applyBorder="1"/>
    <xf numFmtId="0" fontId="11" fillId="0" borderId="0" xfId="1" applyFont="1" applyBorder="1" applyAlignment="1">
      <alignment horizontal="center"/>
    </xf>
    <xf numFmtId="0" fontId="10" fillId="0" borderId="0" xfId="6" applyFont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6" applyFont="1" applyBorder="1" applyAlignment="1">
      <alignment vertical="center" shrinkToFit="1"/>
    </xf>
    <xf numFmtId="0" fontId="10" fillId="0" borderId="0" xfId="6" applyFont="1" applyFill="1" applyAlignment="1">
      <alignment vertical="center"/>
    </xf>
    <xf numFmtId="0" fontId="10" fillId="0" borderId="6" xfId="6" applyFont="1" applyBorder="1" applyAlignment="1">
      <alignment shrinkToFit="1"/>
    </xf>
    <xf numFmtId="0" fontId="10" fillId="0" borderId="0" xfId="1" applyFont="1" applyAlignment="1"/>
    <xf numFmtId="0" fontId="10" fillId="0" borderId="4" xfId="1" applyFont="1" applyBorder="1" applyAlignment="1"/>
    <xf numFmtId="0" fontId="10" fillId="0" borderId="0" xfId="1" applyFont="1" applyBorder="1" applyAlignment="1"/>
    <xf numFmtId="0" fontId="10" fillId="0" borderId="0" xfId="6" applyFont="1" applyBorder="1" applyAlignment="1">
      <alignment vertical="center" shrinkToFit="1"/>
    </xf>
    <xf numFmtId="0" fontId="10" fillId="0" borderId="0" xfId="6" applyFont="1"/>
    <xf numFmtId="0" fontId="10" fillId="0" borderId="0" xfId="6" applyFont="1" applyBorder="1"/>
    <xf numFmtId="43" fontId="10" fillId="0" borderId="0" xfId="3" applyFont="1" applyBorder="1"/>
    <xf numFmtId="0" fontId="12" fillId="0" borderId="0" xfId="6" applyFont="1" applyBorder="1"/>
    <xf numFmtId="0" fontId="10" fillId="0" borderId="6" xfId="1" applyFont="1" applyBorder="1"/>
    <xf numFmtId="0" fontId="10" fillId="0" borderId="0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8" xfId="6" applyFont="1" applyBorder="1"/>
    <xf numFmtId="0" fontId="10" fillId="0" borderId="9" xfId="1" applyFont="1" applyBorder="1"/>
    <xf numFmtId="0" fontId="12" fillId="0" borderId="0" xfId="6" applyFont="1"/>
    <xf numFmtId="0" fontId="10" fillId="0" borderId="0" xfId="6" applyFont="1"/>
    <xf numFmtId="0" fontId="13" fillId="0" borderId="0" xfId="1" applyFont="1"/>
    <xf numFmtId="43" fontId="13" fillId="3" borderId="0" xfId="3" applyFont="1" applyFill="1" applyProtection="1">
      <protection locked="0"/>
    </xf>
    <xf numFmtId="43" fontId="14" fillId="0" borderId="0" xfId="1" applyNumberFormat="1" applyFont="1"/>
    <xf numFmtId="43" fontId="10" fillId="0" borderId="0" xfId="1" applyNumberFormat="1" applyFont="1"/>
    <xf numFmtId="10" fontId="10" fillId="0" borderId="0" xfId="6" applyNumberFormat="1" applyFont="1" applyAlignment="1">
      <alignment vertical="center"/>
    </xf>
    <xf numFmtId="10" fontId="10" fillId="0" borderId="6" xfId="6" applyNumberFormat="1" applyFont="1" applyBorder="1" applyAlignment="1"/>
    <xf numFmtId="0" fontId="10" fillId="0" borderId="0" xfId="6" applyNumberFormat="1" applyFont="1" applyBorder="1" applyAlignment="1">
      <alignment horizontal="left" vertical="center" shrinkToFit="1"/>
    </xf>
    <xf numFmtId="164" fontId="0" fillId="0" borderId="0" xfId="0" applyNumberFormat="1" applyAlignment="1">
      <alignment horizontal="center"/>
    </xf>
    <xf numFmtId="17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Fill="1"/>
    <xf numFmtId="164" fontId="0" fillId="0" borderId="0" xfId="0" applyNumberFormat="1" applyFill="1"/>
    <xf numFmtId="0" fontId="17" fillId="0" borderId="0" xfId="7" applyFont="1" applyAlignment="1">
      <alignment vertical="center"/>
    </xf>
    <xf numFmtId="0" fontId="15" fillId="0" borderId="0" xfId="7" applyFont="1"/>
    <xf numFmtId="0" fontId="19" fillId="0" borderId="0" xfId="7" applyFont="1"/>
    <xf numFmtId="0" fontId="2" fillId="0" borderId="0" xfId="7"/>
    <xf numFmtId="0" fontId="17" fillId="0" borderId="0" xfId="7" applyFont="1" applyAlignment="1">
      <alignment horizontal="right" vertical="center"/>
    </xf>
    <xf numFmtId="0" fontId="15" fillId="0" borderId="0" xfId="7" applyFont="1" applyAlignment="1">
      <alignment horizontal="right"/>
    </xf>
    <xf numFmtId="0" fontId="2" fillId="0" borderId="0" xfId="7"/>
    <xf numFmtId="0" fontId="18" fillId="0" borderId="0" xfId="7" applyFont="1"/>
    <xf numFmtId="0" fontId="20" fillId="0" borderId="0" xfId="7" applyFont="1" applyAlignment="1">
      <alignment horizontal="centerContinuous"/>
    </xf>
    <xf numFmtId="0" fontId="12" fillId="0" borderId="0" xfId="7" applyFont="1" applyAlignment="1">
      <alignment horizontal="centerContinuous"/>
    </xf>
    <xf numFmtId="0" fontId="12" fillId="0" borderId="0" xfId="7" applyFont="1"/>
    <xf numFmtId="0" fontId="20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0" fontId="20" fillId="0" borderId="0" xfId="7" applyFont="1" applyAlignment="1">
      <alignment horizontal="center" vertical="center"/>
    </xf>
    <xf numFmtId="43" fontId="20" fillId="0" borderId="0" xfId="8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1" fillId="0" borderId="0" xfId="7" applyFont="1" applyAlignment="1">
      <alignment horizontal="center"/>
    </xf>
    <xf numFmtId="43" fontId="21" fillId="0" borderId="0" xfId="8" applyFont="1" applyAlignment="1">
      <alignment horizontal="center" vertical="center"/>
    </xf>
    <xf numFmtId="43" fontId="20" fillId="0" borderId="0" xfId="8" applyFont="1" applyAlignment="1">
      <alignment horizontal="center" vertical="center"/>
    </xf>
    <xf numFmtId="43" fontId="20" fillId="0" borderId="0" xfId="8" applyFont="1" applyAlignment="1"/>
    <xf numFmtId="43" fontId="21" fillId="0" borderId="0" xfId="8" applyFont="1" applyAlignment="1"/>
    <xf numFmtId="43" fontId="22" fillId="0" borderId="0" xfId="8" applyFont="1"/>
    <xf numFmtId="168" fontId="22" fillId="0" borderId="0" xfId="7" applyNumberFormat="1" applyFont="1"/>
    <xf numFmtId="168" fontId="2" fillId="0" borderId="0" xfId="8" applyNumberFormat="1" applyFont="1"/>
    <xf numFmtId="1" fontId="2" fillId="0" borderId="0" xfId="7" applyNumberFormat="1"/>
    <xf numFmtId="0" fontId="22" fillId="0" borderId="0" xfId="7" applyFont="1"/>
    <xf numFmtId="1" fontId="22" fillId="0" borderId="0" xfId="7" applyNumberFormat="1" applyFont="1"/>
    <xf numFmtId="0" fontId="20" fillId="0" borderId="0" xfId="7" applyFont="1" applyAlignment="1"/>
    <xf numFmtId="0" fontId="12" fillId="0" borderId="0" xfId="7" applyFont="1" applyAlignment="1"/>
    <xf numFmtId="1" fontId="23" fillId="0" borderId="0" xfId="7" applyNumberFormat="1" applyFont="1"/>
    <xf numFmtId="43" fontId="20" fillId="0" borderId="0" xfId="8" applyFont="1" applyAlignment="1">
      <alignment vertical="center"/>
    </xf>
    <xf numFmtId="169" fontId="21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3" fontId="21" fillId="0" borderId="0" xfId="7" applyNumberFormat="1" applyFont="1" applyAlignment="1">
      <alignment vertical="center"/>
    </xf>
    <xf numFmtId="43" fontId="21" fillId="0" borderId="0" xfId="8" applyFont="1" applyAlignment="1">
      <alignment vertical="center"/>
    </xf>
    <xf numFmtId="43" fontId="21" fillId="0" borderId="0" xfId="8" applyFont="1" applyAlignment="1">
      <alignment vertical="center"/>
    </xf>
    <xf numFmtId="1" fontId="12" fillId="0" borderId="0" xfId="8" applyNumberFormat="1" applyFont="1" applyBorder="1" applyAlignment="1" applyProtection="1">
      <alignment vertical="center"/>
    </xf>
    <xf numFmtId="1" fontId="12" fillId="0" borderId="0" xfId="8" applyNumberFormat="1" applyFont="1" applyBorder="1" applyAlignment="1">
      <alignment vertical="center"/>
    </xf>
    <xf numFmtId="168" fontId="20" fillId="0" borderId="0" xfId="8" applyNumberFormat="1" applyFont="1"/>
    <xf numFmtId="165" fontId="6" fillId="0" borderId="0" xfId="0" applyNumberFormat="1" applyFont="1"/>
    <xf numFmtId="170" fontId="0" fillId="0" borderId="0" xfId="0" applyNumberFormat="1"/>
    <xf numFmtId="0" fontId="16" fillId="0" borderId="0" xfId="7" applyFont="1" applyAlignment="1">
      <alignment horizontal="right" vertical="center"/>
    </xf>
    <xf numFmtId="0" fontId="18" fillId="0" borderId="0" xfId="7" applyFont="1" applyAlignment="1">
      <alignment horizontal="right"/>
    </xf>
    <xf numFmtId="170" fontId="0" fillId="0" borderId="0" xfId="0" applyNumberFormat="1" applyFill="1"/>
    <xf numFmtId="10" fontId="20" fillId="0" borderId="0" xfId="5" applyNumberFormat="1" applyFont="1" applyAlignment="1"/>
    <xf numFmtId="10" fontId="21" fillId="0" borderId="0" xfId="5" applyNumberFormat="1" applyFont="1" applyAlignment="1"/>
    <xf numFmtId="170" fontId="0" fillId="4" borderId="0" xfId="0" applyNumberFormat="1" applyFill="1"/>
    <xf numFmtId="10" fontId="0" fillId="4" borderId="0" xfId="5" applyNumberFormat="1" applyFont="1" applyFill="1"/>
    <xf numFmtId="0" fontId="0" fillId="4" borderId="0" xfId="0" applyFill="1"/>
    <xf numFmtId="10" fontId="0" fillId="0" borderId="0" xfId="5" applyNumberFormat="1" applyFont="1" applyFill="1"/>
    <xf numFmtId="0" fontId="2" fillId="0" borderId="0" xfId="7"/>
    <xf numFmtId="0" fontId="16" fillId="5" borderId="0" xfId="7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70" fontId="0" fillId="5" borderId="0" xfId="0" applyNumberFormat="1" applyFill="1" applyAlignment="1">
      <alignment horizontal="center"/>
    </xf>
    <xf numFmtId="0" fontId="16" fillId="6" borderId="0" xfId="7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170" fontId="0" fillId="6" borderId="0" xfId="0" applyNumberFormat="1" applyFill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0" fillId="0" borderId="0" xfId="4" applyNumberFormat="1" applyFont="1"/>
    <xf numFmtId="0" fontId="0" fillId="0" borderId="0" xfId="0" applyNumberFormat="1" applyFill="1"/>
    <xf numFmtId="0" fontId="24" fillId="0" borderId="0" xfId="0" applyFont="1" applyAlignment="1">
      <alignment horizontal="center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3" fontId="24" fillId="0" borderId="0" xfId="4" applyFont="1" applyAlignment="1">
      <alignment horizontal="center"/>
    </xf>
    <xf numFmtId="43" fontId="6" fillId="0" borderId="0" xfId="4" applyFont="1" applyAlignment="1"/>
    <xf numFmtId="166" fontId="24" fillId="0" borderId="0" xfId="4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right"/>
    </xf>
    <xf numFmtId="4" fontId="3" fillId="0" borderId="0" xfId="4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0" fillId="2" borderId="0" xfId="0" applyFill="1" applyAlignment="1">
      <alignment horizontal="center"/>
    </xf>
    <xf numFmtId="0" fontId="10" fillId="0" borderId="0" xfId="1" applyFont="1" applyAlignment="1">
      <alignment horizontal="left" vertical="center"/>
    </xf>
    <xf numFmtId="0" fontId="12" fillId="0" borderId="0" xfId="6" applyFont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10" fontId="10" fillId="0" borderId="0" xfId="2" applyNumberFormat="1" applyFont="1" applyAlignment="1">
      <alignment vertical="center"/>
    </xf>
    <xf numFmtId="10" fontId="10" fillId="0" borderId="0" xfId="5" applyNumberFormat="1" applyFont="1" applyAlignment="1">
      <alignment vertical="center"/>
    </xf>
    <xf numFmtId="164" fontId="25" fillId="0" borderId="0" xfId="0" applyNumberFormat="1" applyFont="1"/>
    <xf numFmtId="0" fontId="11" fillId="0" borderId="0" xfId="1" quotePrefix="1" applyFont="1" applyAlignment="1">
      <alignment horizontal="right"/>
    </xf>
    <xf numFmtId="0" fontId="11" fillId="0" borderId="0" xfId="1" applyFont="1" applyAlignment="1">
      <alignment horizontal="right"/>
    </xf>
    <xf numFmtId="0" fontId="9" fillId="0" borderId="0" xfId="1" applyFont="1" applyAlignment="1"/>
    <xf numFmtId="0" fontId="9" fillId="0" borderId="0" xfId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/>
    <xf numFmtId="17" fontId="3" fillId="0" borderId="0" xfId="0" applyNumberFormat="1" applyFont="1" applyFill="1"/>
    <xf numFmtId="166" fontId="3" fillId="0" borderId="0" xfId="0" quotePrefix="1" applyNumberFormat="1" applyFont="1" applyAlignment="1">
      <alignment horizontal="right"/>
    </xf>
    <xf numFmtId="167" fontId="0" fillId="7" borderId="0" xfId="0" applyNumberFormat="1" applyFill="1"/>
    <xf numFmtId="0" fontId="11" fillId="0" borderId="0" xfId="1" applyFont="1"/>
    <xf numFmtId="0" fontId="10" fillId="8" borderId="0" xfId="1" applyFont="1" applyFill="1" applyAlignment="1">
      <alignment vertical="center"/>
    </xf>
    <xf numFmtId="0" fontId="10" fillId="9" borderId="0" xfId="1" applyFont="1" applyFill="1" applyAlignment="1">
      <alignment vertical="center"/>
    </xf>
    <xf numFmtId="0" fontId="11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Border="1" applyAlignment="1">
      <alignment vertical="center"/>
    </xf>
    <xf numFmtId="10" fontId="10" fillId="0" borderId="0" xfId="6" applyNumberFormat="1" applyFont="1" applyBorder="1" applyAlignment="1">
      <alignment vertical="center"/>
    </xf>
    <xf numFmtId="170" fontId="10" fillId="0" borderId="0" xfId="1" applyNumberFormat="1" applyFont="1" applyAlignment="1">
      <alignment vertical="center"/>
    </xf>
    <xf numFmtId="170" fontId="10" fillId="0" borderId="0" xfId="6" applyNumberFormat="1" applyFont="1" applyAlignment="1">
      <alignment vertical="center"/>
    </xf>
    <xf numFmtId="170" fontId="10" fillId="0" borderId="6" xfId="6" applyNumberFormat="1" applyFont="1" applyBorder="1" applyAlignment="1">
      <alignment shrinkToFit="1"/>
    </xf>
    <xf numFmtId="170" fontId="10" fillId="0" borderId="0" xfId="6" applyNumberFormat="1" applyFont="1" applyBorder="1" applyAlignment="1">
      <alignment vertical="center" shrinkToFit="1"/>
    </xf>
    <xf numFmtId="170" fontId="10" fillId="0" borderId="0" xfId="1" applyNumberFormat="1" applyFont="1"/>
    <xf numFmtId="170" fontId="10" fillId="0" borderId="6" xfId="1" applyNumberFormat="1" applyFont="1" applyBorder="1"/>
    <xf numFmtId="170" fontId="10" fillId="0" borderId="0" xfId="1" applyNumberFormat="1" applyFont="1" applyBorder="1"/>
    <xf numFmtId="170" fontId="10" fillId="0" borderId="0" xfId="6" applyNumberFormat="1" applyFont="1" applyBorder="1" applyAlignment="1">
      <alignment vertical="center"/>
    </xf>
    <xf numFmtId="170" fontId="10" fillId="0" borderId="0" xfId="6" applyNumberFormat="1" applyFont="1" applyFill="1" applyBorder="1" applyAlignment="1">
      <alignment vertical="center"/>
    </xf>
    <xf numFmtId="170" fontId="10" fillId="0" borderId="0" xfId="3" applyNumberFormat="1" applyFont="1" applyBorder="1"/>
    <xf numFmtId="0" fontId="6" fillId="0" borderId="0" xfId="0" applyFont="1" applyFill="1" applyAlignment="1">
      <alignment horizontal="right"/>
    </xf>
    <xf numFmtId="4" fontId="0" fillId="0" borderId="0" xfId="0" applyNumberFormat="1" applyFill="1"/>
    <xf numFmtId="4" fontId="6" fillId="0" borderId="0" xfId="0" applyNumberFormat="1" applyFont="1" applyFill="1" applyAlignment="1">
      <alignment horizontal="right"/>
    </xf>
    <xf numFmtId="43" fontId="6" fillId="0" borderId="0" xfId="4" applyFont="1" applyFill="1"/>
    <xf numFmtId="165" fontId="0" fillId="0" borderId="0" xfId="4" applyNumberFormat="1" applyFont="1" applyFill="1"/>
    <xf numFmtId="9" fontId="0" fillId="0" borderId="0" xfId="5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166" fontId="0" fillId="0" borderId="0" xfId="4" applyNumberFormat="1" applyFont="1" applyFill="1"/>
    <xf numFmtId="164" fontId="25" fillId="0" borderId="0" xfId="0" applyNumberFormat="1" applyFont="1" applyFill="1"/>
    <xf numFmtId="10" fontId="25" fillId="0" borderId="0" xfId="5" applyNumberFormat="1" applyFont="1" applyFill="1"/>
    <xf numFmtId="166" fontId="3" fillId="0" borderId="0" xfId="4" applyNumberFormat="1" applyFont="1" applyFill="1"/>
    <xf numFmtId="165" fontId="3" fillId="0" borderId="0" xfId="4" applyNumberFormat="1" applyFont="1" applyFill="1"/>
    <xf numFmtId="166" fontId="3" fillId="0" borderId="0" xfId="4" applyNumberFormat="1" applyFont="1" applyFill="1" applyAlignment="1">
      <alignment horizontal="right"/>
    </xf>
    <xf numFmtId="4" fontId="3" fillId="0" borderId="0" xfId="4" applyNumberFormat="1" applyFont="1" applyFill="1" applyAlignment="1">
      <alignment horizontal="right"/>
    </xf>
    <xf numFmtId="17" fontId="3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center"/>
    </xf>
    <xf numFmtId="166" fontId="26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4" applyNumberFormat="1" applyFont="1" applyAlignment="1">
      <alignment horizontal="center"/>
    </xf>
    <xf numFmtId="0" fontId="3" fillId="0" borderId="0" xfId="0" applyNumberFormat="1" applyFont="1" applyFill="1"/>
    <xf numFmtId="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4" applyNumberFormat="1" applyFont="1" applyFill="1" applyAlignment="1">
      <alignment horizontal="center"/>
    </xf>
    <xf numFmtId="0" fontId="10" fillId="0" borderId="0" xfId="6" applyNumberFormat="1" applyFont="1" applyFill="1" applyBorder="1" applyAlignment="1">
      <alignment horizontal="left" vertical="center" shrinkToFit="1"/>
    </xf>
    <xf numFmtId="43" fontId="0" fillId="0" borderId="0" xfId="4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14" fontId="6" fillId="0" borderId="0" xfId="0" applyNumberFormat="1" applyFont="1"/>
    <xf numFmtId="0" fontId="0" fillId="0" borderId="10" xfId="0" applyNumberFormat="1" applyBorder="1"/>
    <xf numFmtId="0" fontId="0" fillId="0" borderId="10" xfId="0" applyBorder="1" applyAlignment="1">
      <alignment horizontal="center"/>
    </xf>
    <xf numFmtId="43" fontId="0" fillId="0" borderId="10" xfId="4" applyFont="1" applyBorder="1" applyAlignment="1">
      <alignment horizontal="center"/>
    </xf>
    <xf numFmtId="166" fontId="0" fillId="0" borderId="10" xfId="0" applyNumberFormat="1" applyFill="1" applyBorder="1"/>
    <xf numFmtId="0" fontId="0" fillId="0" borderId="10" xfId="0" applyNumberFormat="1" applyFill="1" applyBorder="1"/>
    <xf numFmtId="0" fontId="26" fillId="0" borderId="0" xfId="0" applyNumberFormat="1" applyFont="1" applyFill="1" applyAlignment="1">
      <alignment horizontal="left"/>
    </xf>
    <xf numFmtId="0" fontId="0" fillId="0" borderId="0" xfId="4" applyNumberFormat="1" applyFont="1" applyFill="1"/>
    <xf numFmtId="0" fontId="0" fillId="0" borderId="0" xfId="0" applyNumberFormat="1" applyFill="1" applyAlignment="1">
      <alignment horizontal="right"/>
    </xf>
    <xf numFmtId="0" fontId="25" fillId="0" borderId="0" xfId="0" applyNumberFormat="1" applyFont="1" applyFill="1" applyAlignment="1">
      <alignment horizontal="right"/>
    </xf>
    <xf numFmtId="0" fontId="0" fillId="0" borderId="0" xfId="0" quotePrefix="1" applyNumberFormat="1" applyFill="1" applyAlignment="1">
      <alignment horizontal="center"/>
    </xf>
    <xf numFmtId="0" fontId="27" fillId="0" borderId="0" xfId="0" applyFont="1"/>
    <xf numFmtId="0" fontId="20" fillId="0" borderId="0" xfId="7" applyFont="1" applyFill="1" applyAlignment="1">
      <alignment horizontal="left" vertical="center"/>
    </xf>
    <xf numFmtId="0" fontId="12" fillId="0" borderId="0" xfId="7" applyFont="1" applyFill="1" applyAlignment="1">
      <alignment horizontal="centerContinuous" vertical="center"/>
    </xf>
    <xf numFmtId="43" fontId="20" fillId="0" borderId="0" xfId="8" applyFont="1" applyFill="1" applyAlignment="1">
      <alignment horizontal="centerContinuous" vertical="center"/>
    </xf>
    <xf numFmtId="0" fontId="2" fillId="0" borderId="0" xfId="7" applyFill="1"/>
    <xf numFmtId="0" fontId="12" fillId="0" borderId="0" xfId="7" quotePrefix="1" applyFont="1" applyFill="1" applyAlignment="1">
      <alignment horizontal="left" vertical="center"/>
    </xf>
    <xf numFmtId="0" fontId="12" fillId="0" borderId="0" xfId="7" applyFont="1" applyFill="1" applyAlignment="1">
      <alignment vertical="center"/>
    </xf>
    <xf numFmtId="43" fontId="12" fillId="0" borderId="0" xfId="8" applyFont="1" applyFill="1" applyAlignment="1">
      <alignment vertical="center"/>
    </xf>
    <xf numFmtId="0" fontId="21" fillId="0" borderId="0" xfId="7" applyFont="1" applyFill="1" applyAlignment="1">
      <alignment vertical="center"/>
    </xf>
    <xf numFmtId="0" fontId="12" fillId="0" borderId="0" xfId="7" applyFont="1" applyFill="1" applyAlignment="1">
      <alignment horizontal="left" vertical="center"/>
    </xf>
    <xf numFmtId="43" fontId="20" fillId="0" borderId="0" xfId="8" applyFont="1" applyFill="1" applyAlignment="1">
      <alignment vertical="center"/>
    </xf>
    <xf numFmtId="0" fontId="11" fillId="0" borderId="0" xfId="1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4" applyNumberFormat="1" applyFont="1" applyFill="1" applyAlignment="1">
      <alignment horizontal="left"/>
    </xf>
    <xf numFmtId="0" fontId="25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0" fontId="10" fillId="0" borderId="6" xfId="6" applyNumberFormat="1" applyFont="1" applyBorder="1" applyAlignment="1">
      <alignment vertical="center"/>
    </xf>
    <xf numFmtId="43" fontId="0" fillId="0" borderId="0" xfId="0" applyNumberFormat="1" applyFill="1" applyAlignment="1">
      <alignment horizontal="left"/>
    </xf>
    <xf numFmtId="43" fontId="25" fillId="0" borderId="0" xfId="0" applyNumberFormat="1" applyFont="1" applyFill="1" applyAlignment="1">
      <alignment horizontal="left"/>
    </xf>
    <xf numFmtId="170" fontId="0" fillId="0" borderId="0" xfId="0" applyNumberFormat="1" applyAlignment="1">
      <alignment horizontal="center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Alignment="1">
      <alignment horizontal="center"/>
    </xf>
    <xf numFmtId="0" fontId="12" fillId="0" borderId="0" xfId="4" applyNumberFormat="1" applyFont="1" applyAlignment="1">
      <alignment horizontal="center"/>
    </xf>
    <xf numFmtId="0" fontId="28" fillId="0" borderId="0" xfId="0" applyNumberFormat="1" applyFont="1" applyFill="1"/>
    <xf numFmtId="0" fontId="12" fillId="0" borderId="0" xfId="0" applyNumberFormat="1" applyFont="1" applyFill="1"/>
    <xf numFmtId="0" fontId="12" fillId="0" borderId="4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2" fillId="0" borderId="0" xfId="4" applyNumberFormat="1" applyFont="1" applyFill="1" applyBorder="1" applyAlignment="1">
      <alignment horizontal="center"/>
    </xf>
    <xf numFmtId="0" fontId="10" fillId="0" borderId="4" xfId="6" applyNumberFormat="1" applyFont="1" applyFill="1" applyBorder="1" applyAlignment="1">
      <alignment horizontal="left" vertical="center" shrinkToFit="1"/>
    </xf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12" fillId="0" borderId="0" xfId="4" applyFont="1" applyFill="1" applyBorder="1" applyAlignment="1">
      <alignment horizontal="center"/>
    </xf>
    <xf numFmtId="0" fontId="12" fillId="0" borderId="11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43" fontId="12" fillId="0" borderId="10" xfId="4" applyFont="1" applyBorder="1" applyAlignment="1">
      <alignment horizontal="center"/>
    </xf>
    <xf numFmtId="166" fontId="12" fillId="0" borderId="10" xfId="0" applyNumberFormat="1" applyFont="1" applyFill="1" applyBorder="1"/>
    <xf numFmtId="0" fontId="12" fillId="0" borderId="10" xfId="0" applyNumberFormat="1" applyFont="1" applyFill="1" applyBorder="1"/>
    <xf numFmtId="0" fontId="12" fillId="0" borderId="0" xfId="0" applyFont="1" applyBorder="1" applyAlignment="1">
      <alignment horizontal="center"/>
    </xf>
    <xf numFmtId="43" fontId="12" fillId="0" borderId="0" xfId="4" applyFont="1" applyBorder="1" applyAlignment="1">
      <alignment horizontal="center"/>
    </xf>
    <xf numFmtId="166" fontId="12" fillId="0" borderId="0" xfId="0" applyNumberFormat="1" applyFont="1" applyFill="1" applyBorder="1"/>
    <xf numFmtId="0" fontId="12" fillId="0" borderId="0" xfId="0" applyNumberFormat="1" applyFont="1" applyFill="1" applyBorder="1"/>
    <xf numFmtId="0" fontId="29" fillId="0" borderId="4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2" fillId="0" borderId="0" xfId="4" applyNumberFormat="1" applyFont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4" applyFont="1" applyAlignment="1">
      <alignment horizontal="center"/>
    </xf>
    <xf numFmtId="166" fontId="12" fillId="0" borderId="0" xfId="0" applyNumberFormat="1" applyFont="1" applyFill="1"/>
    <xf numFmtId="165" fontId="12" fillId="0" borderId="0" xfId="0" applyNumberFormat="1" applyFont="1" applyFill="1"/>
    <xf numFmtId="0" fontId="12" fillId="0" borderId="0" xfId="0" applyFont="1" applyFill="1"/>
    <xf numFmtId="0" fontId="30" fillId="0" borderId="0" xfId="0" applyFont="1" applyFill="1"/>
    <xf numFmtId="17" fontId="0" fillId="0" borderId="0" xfId="0" applyNumberFormat="1"/>
    <xf numFmtId="10" fontId="10" fillId="0" borderId="0" xfId="6" applyNumberFormat="1" applyFont="1" applyBorder="1" applyAlignment="1"/>
    <xf numFmtId="0" fontId="11" fillId="0" borderId="0" xfId="1" applyFont="1" applyAlignment="1">
      <alignment horizontal="left"/>
    </xf>
    <xf numFmtId="170" fontId="6" fillId="0" borderId="0" xfId="0" applyNumberFormat="1" applyFont="1"/>
    <xf numFmtId="10" fontId="6" fillId="0" borderId="0" xfId="5" applyNumberFormat="1" applyFont="1"/>
    <xf numFmtId="0" fontId="6" fillId="0" borderId="0" xfId="0" applyFont="1"/>
    <xf numFmtId="0" fontId="12" fillId="0" borderId="0" xfId="0" applyFont="1" applyFill="1" applyBorder="1"/>
    <xf numFmtId="0" fontId="28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12" fillId="0" borderId="10" xfId="0" applyNumberFormat="1" applyFont="1" applyFill="1" applyBorder="1" applyAlignment="1">
      <alignment horizontal="left"/>
    </xf>
    <xf numFmtId="165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12" fillId="0" borderId="10" xfId="0" applyNumberFormat="1" applyFont="1" applyFill="1" applyBorder="1"/>
    <xf numFmtId="0" fontId="12" fillId="0" borderId="10" xfId="0" applyFont="1" applyFill="1" applyBorder="1"/>
    <xf numFmtId="0" fontId="0" fillId="0" borderId="10" xfId="0" applyFill="1" applyBorder="1"/>
    <xf numFmtId="0" fontId="0" fillId="0" borderId="10" xfId="0" applyBorder="1"/>
    <xf numFmtId="167" fontId="0" fillId="0" borderId="10" xfId="0" applyNumberFormat="1" applyFill="1" applyBorder="1" applyAlignment="1">
      <alignment horizontal="center"/>
    </xf>
    <xf numFmtId="0" fontId="11" fillId="0" borderId="0" xfId="1" applyFont="1" applyAlignment="1">
      <alignment horizontal="center"/>
    </xf>
    <xf numFmtId="16" fontId="11" fillId="0" borderId="0" xfId="1" quotePrefix="1" applyNumberFormat="1" applyFont="1" applyAlignment="1">
      <alignment horizontal="center"/>
    </xf>
    <xf numFmtId="16" fontId="11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16" fontId="9" fillId="0" borderId="0" xfId="1" applyNumberFormat="1" applyFont="1" applyAlignment="1">
      <alignment horizontal="center"/>
    </xf>
    <xf numFmtId="0" fontId="9" fillId="0" borderId="0" xfId="1" applyFont="1" applyBorder="1" applyAlignment="1">
      <alignment horizontal="center"/>
    </xf>
  </cellXfs>
  <cellStyles count="11">
    <cellStyle name="Comma" xfId="4" builtinId="3"/>
    <cellStyle name="Comma 2" xfId="3"/>
    <cellStyle name="Comma 3" xfId="8"/>
    <cellStyle name="Comma 4" xfId="10"/>
    <cellStyle name="Comma_2004paid" xfId="6"/>
    <cellStyle name="Normal" xfId="0" builtinId="0"/>
    <cellStyle name="Normal 2" xfId="1"/>
    <cellStyle name="Normal 3" xfId="7"/>
    <cellStyle name="Normal 4" xfId="9"/>
    <cellStyle name="Percent" xfId="5" builtinId="5"/>
    <cellStyle name="Percent 2" xfId="2"/>
  </cellStyles>
  <dxfs count="10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6"/>
  <sheetViews>
    <sheetView topLeftCell="A530" zoomScale="80" zoomScaleNormal="80" workbookViewId="0">
      <selection activeCell="J527" sqref="J527"/>
    </sheetView>
  </sheetViews>
  <sheetFormatPr defaultRowHeight="15" x14ac:dyDescent="0.2"/>
  <cols>
    <col min="1" max="1" width="35.77734375" style="226" bestFit="1" customWidth="1"/>
    <col min="2" max="3" width="4.88671875" style="7" hidden="1" customWidth="1"/>
    <col min="4" max="4" width="5.77734375" style="9" hidden="1" customWidth="1"/>
    <col min="5" max="5" width="1.33203125" style="7" hidden="1" customWidth="1"/>
    <col min="6" max="6" width="7.33203125" style="7" hidden="1" customWidth="1"/>
    <col min="7" max="7" width="15.77734375" style="21" customWidth="1"/>
    <col min="8" max="8" width="13" style="15" bestFit="1" customWidth="1"/>
    <col min="9" max="9" width="8.6640625" style="6" customWidth="1"/>
    <col min="10" max="10" width="12.44140625" style="6" bestFit="1" customWidth="1"/>
    <col min="11" max="11" width="11.44140625" style="6" bestFit="1" customWidth="1"/>
    <col min="12" max="17" width="12.33203125" style="6" bestFit="1" customWidth="1"/>
    <col min="18" max="18" width="12.33203125" style="6" customWidth="1"/>
    <col min="19" max="21" width="12.33203125" bestFit="1" customWidth="1"/>
    <col min="22" max="22" width="8.21875" style="7" customWidth="1"/>
    <col min="23" max="23" width="12.109375" style="81" customWidth="1"/>
    <col min="24" max="24" width="3.6640625" style="7" customWidth="1"/>
    <col min="25" max="25" width="7.21875" style="7" hidden="1" customWidth="1"/>
    <col min="26" max="26" width="5.77734375" style="7" hidden="1" customWidth="1"/>
    <col min="27" max="27" width="10.44140625" style="6" bestFit="1" customWidth="1"/>
    <col min="28" max="28" width="10.6640625" style="6" customWidth="1"/>
    <col min="29" max="29" width="7.6640625" style="6" bestFit="1" customWidth="1"/>
    <col min="30" max="30" width="2.6640625" customWidth="1"/>
    <col min="31" max="31" width="10.6640625" style="7" customWidth="1"/>
    <col min="32" max="32" width="3.77734375" hidden="1" customWidth="1"/>
    <col min="33" max="33" width="3.6640625" customWidth="1"/>
    <col min="34" max="34" width="13.21875" customWidth="1"/>
    <col min="35" max="35" width="1.6640625" customWidth="1"/>
    <col min="36" max="36" width="12.33203125" customWidth="1"/>
    <col min="37" max="37" width="2.77734375" customWidth="1"/>
    <col min="38" max="38" width="8.88671875" customWidth="1"/>
    <col min="39" max="39" width="13" customWidth="1"/>
    <col min="40" max="41" width="8.88671875" customWidth="1"/>
    <col min="42" max="42" width="5.77734375" customWidth="1"/>
    <col min="43" max="43" width="10.44140625" style="23" customWidth="1"/>
    <col min="44" max="44" width="8.88671875" customWidth="1"/>
    <col min="45" max="45" width="9.5546875" customWidth="1"/>
    <col min="46" max="46" width="11.88671875" customWidth="1"/>
    <col min="47" max="47" width="8.88671875" customWidth="1"/>
    <col min="48" max="48" width="10.88671875" customWidth="1"/>
    <col min="49" max="51" width="8.88671875" customWidth="1"/>
  </cols>
  <sheetData>
    <row r="1" spans="1:43" ht="15.75" x14ac:dyDescent="0.25">
      <c r="G1" s="196" t="s">
        <v>0</v>
      </c>
      <c r="H1" s="197"/>
      <c r="I1" s="198"/>
      <c r="J1" s="194"/>
      <c r="K1" s="194"/>
      <c r="L1" s="194"/>
      <c r="M1" s="194"/>
      <c r="N1" s="194"/>
      <c r="O1" s="194"/>
      <c r="P1" s="194"/>
      <c r="Q1" s="194"/>
      <c r="R1" s="194"/>
      <c r="S1" s="3"/>
      <c r="T1" s="3"/>
      <c r="U1" s="3"/>
      <c r="AH1" s="171" t="s">
        <v>1136</v>
      </c>
      <c r="AI1" s="172"/>
      <c r="AJ1" s="171" t="s">
        <v>1064</v>
      </c>
    </row>
    <row r="2" spans="1:43" x14ac:dyDescent="0.2">
      <c r="AH2" s="171" t="s">
        <v>1137</v>
      </c>
      <c r="AI2" s="172"/>
      <c r="AJ2" s="171" t="s">
        <v>1138</v>
      </c>
    </row>
    <row r="3" spans="1:43" ht="16.5" x14ac:dyDescent="0.25">
      <c r="A3" s="250"/>
      <c r="G3" s="199" t="s">
        <v>1208</v>
      </c>
      <c r="H3" s="200"/>
      <c r="W3" s="6"/>
      <c r="X3"/>
      <c r="Y3"/>
      <c r="Z3"/>
      <c r="AA3"/>
      <c r="AB3"/>
      <c r="AC3"/>
      <c r="AH3" s="172"/>
      <c r="AI3" s="172"/>
      <c r="AJ3" s="171" t="s">
        <v>1139</v>
      </c>
    </row>
    <row r="4" spans="1:43" x14ac:dyDescent="0.2">
      <c r="A4" s="250"/>
      <c r="W4" s="6"/>
      <c r="X4"/>
      <c r="Y4"/>
      <c r="Z4"/>
      <c r="AA4"/>
      <c r="AB4"/>
      <c r="AC4"/>
    </row>
    <row r="5" spans="1:43" ht="16.5" x14ac:dyDescent="0.25">
      <c r="A5" s="251" t="s">
        <v>1</v>
      </c>
      <c r="B5" s="145" t="s">
        <v>2</v>
      </c>
      <c r="C5" s="145" t="s">
        <v>3</v>
      </c>
      <c r="D5" s="149" t="s">
        <v>1039</v>
      </c>
      <c r="E5" s="145"/>
      <c r="F5" s="145" t="s">
        <v>1038</v>
      </c>
      <c r="G5" s="201" t="s">
        <v>1143</v>
      </c>
      <c r="H5" s="202" t="s">
        <v>1144</v>
      </c>
      <c r="I5" s="203" t="s">
        <v>1043</v>
      </c>
      <c r="J5" s="173">
        <v>44592</v>
      </c>
      <c r="K5" s="173">
        <v>44620</v>
      </c>
      <c r="L5" s="173">
        <v>44651</v>
      </c>
      <c r="M5" s="173">
        <v>44681</v>
      </c>
      <c r="N5" s="173">
        <v>44712</v>
      </c>
      <c r="O5" s="173">
        <v>44742</v>
      </c>
      <c r="P5" s="173">
        <v>44773</v>
      </c>
      <c r="Q5" s="173">
        <v>44804</v>
      </c>
      <c r="R5" s="173">
        <v>44834</v>
      </c>
      <c r="S5" s="173">
        <v>44865</v>
      </c>
      <c r="T5" s="173">
        <v>44895</v>
      </c>
      <c r="U5" s="173">
        <v>44926</v>
      </c>
      <c r="W5" s="193" t="s">
        <v>1044</v>
      </c>
      <c r="X5"/>
      <c r="Y5"/>
      <c r="Z5"/>
      <c r="AA5" s="2">
        <v>44957</v>
      </c>
      <c r="AB5" s="2">
        <v>44985</v>
      </c>
      <c r="AC5" s="2">
        <v>45016</v>
      </c>
      <c r="AD5" s="292"/>
      <c r="AE5" s="16" t="s">
        <v>378</v>
      </c>
      <c r="AH5" s="16" t="s">
        <v>1141</v>
      </c>
      <c r="AJ5" s="170" t="s">
        <v>1140</v>
      </c>
      <c r="AQ5" s="227">
        <v>44588</v>
      </c>
    </row>
    <row r="6" spans="1:43" ht="16.5" x14ac:dyDescent="0.25">
      <c r="A6" s="251"/>
      <c r="B6" s="8"/>
      <c r="C6" s="8"/>
      <c r="E6" s="8"/>
      <c r="F6" s="8"/>
      <c r="G6" s="201" t="s">
        <v>1040</v>
      </c>
      <c r="H6" s="202" t="s">
        <v>1040</v>
      </c>
      <c r="I6" s="204"/>
      <c r="J6" s="202" t="s">
        <v>1040</v>
      </c>
      <c r="K6" s="202" t="s">
        <v>1040</v>
      </c>
      <c r="L6" s="202" t="s">
        <v>1040</v>
      </c>
      <c r="M6" s="202" t="s">
        <v>1040</v>
      </c>
      <c r="N6" s="202" t="s">
        <v>1040</v>
      </c>
      <c r="O6" s="202" t="s">
        <v>1040</v>
      </c>
      <c r="P6" s="202" t="s">
        <v>1040</v>
      </c>
      <c r="Q6" s="202" t="s">
        <v>1040</v>
      </c>
      <c r="R6" s="202" t="s">
        <v>1040</v>
      </c>
      <c r="S6" s="147" t="s">
        <v>1040</v>
      </c>
      <c r="T6" s="147" t="s">
        <v>1040</v>
      </c>
      <c r="U6" s="147" t="s">
        <v>1040</v>
      </c>
      <c r="V6" s="8"/>
      <c r="W6" s="6"/>
      <c r="X6" s="1"/>
      <c r="Y6" s="1"/>
      <c r="Z6" s="1"/>
      <c r="AA6"/>
      <c r="AB6"/>
      <c r="AC6"/>
    </row>
    <row r="8" spans="1:43" x14ac:dyDescent="0.2">
      <c r="A8" s="252" t="s">
        <v>18</v>
      </c>
      <c r="B8" s="9" t="s">
        <v>495</v>
      </c>
      <c r="C8" s="9" t="s">
        <v>495</v>
      </c>
      <c r="D8" s="9" t="s">
        <v>495</v>
      </c>
      <c r="E8" s="9"/>
      <c r="F8" s="9">
        <v>0</v>
      </c>
      <c r="G8" s="83">
        <v>25503</v>
      </c>
      <c r="H8" s="83">
        <f>SUM(J8:U8)+SUM(AA8:AC8)</f>
        <v>17500</v>
      </c>
      <c r="I8" s="133">
        <f>ROUND((H8/G8),4)</f>
        <v>0.68620000000000003</v>
      </c>
      <c r="J8" s="82">
        <v>1250</v>
      </c>
      <c r="K8" s="82">
        <v>1250</v>
      </c>
      <c r="L8" s="82">
        <v>1250</v>
      </c>
      <c r="M8" s="82">
        <v>1250</v>
      </c>
      <c r="N8" s="82">
        <v>1250</v>
      </c>
      <c r="O8" s="82">
        <v>1250</v>
      </c>
      <c r="P8" s="82">
        <v>1250</v>
      </c>
      <c r="Q8" s="82">
        <v>1250</v>
      </c>
      <c r="R8" s="82">
        <v>1250</v>
      </c>
      <c r="S8" s="23">
        <v>1250</v>
      </c>
      <c r="T8" s="23">
        <v>1250</v>
      </c>
      <c r="U8" s="23">
        <v>3750</v>
      </c>
      <c r="V8" s="7" t="s">
        <v>496</v>
      </c>
      <c r="W8" s="82">
        <f>G8-H8</f>
        <v>8003</v>
      </c>
      <c r="X8" s="4"/>
      <c r="Y8" s="4"/>
      <c r="Z8" s="4"/>
      <c r="AA8" s="82"/>
      <c r="AB8" s="82"/>
      <c r="AC8" s="82"/>
      <c r="AD8" s="82"/>
      <c r="AE8" s="7" t="s">
        <v>379</v>
      </c>
      <c r="AH8" s="23">
        <f>SUM('2021 Detail'!J8:U8)+SUM('2021 Detail'!AA8)</f>
        <v>15000</v>
      </c>
      <c r="AJ8" s="23">
        <f>H8-AH8</f>
        <v>2500</v>
      </c>
      <c r="AL8" t="str">
        <f>IF(AJ8&lt;0,"Down",IF(AJ8&gt;0,"Up","Same"))</f>
        <v>Up</v>
      </c>
      <c r="AQ8" s="23">
        <v>1250</v>
      </c>
    </row>
    <row r="9" spans="1:43" x14ac:dyDescent="0.2">
      <c r="A9" s="252" t="s">
        <v>19</v>
      </c>
      <c r="B9" s="9" t="s">
        <v>495</v>
      </c>
      <c r="C9" s="9" t="s">
        <v>495</v>
      </c>
      <c r="D9" s="9" t="s">
        <v>495</v>
      </c>
      <c r="E9" s="9"/>
      <c r="F9" s="9" t="s">
        <v>495</v>
      </c>
      <c r="G9" s="83">
        <v>14573</v>
      </c>
      <c r="H9" s="83">
        <f t="shared" ref="H9:H37" si="0">SUM(J9:U9)+SUM(AA9:AC9)</f>
        <v>1200</v>
      </c>
      <c r="I9" s="133">
        <f t="shared" ref="I9:I41" si="1">ROUND((H9/G9),4)</f>
        <v>8.2299999999999998E-2</v>
      </c>
      <c r="J9" s="82">
        <v>100</v>
      </c>
      <c r="K9" s="82">
        <v>100</v>
      </c>
      <c r="L9" s="82">
        <v>100</v>
      </c>
      <c r="M9" s="82">
        <v>100</v>
      </c>
      <c r="N9" s="82">
        <v>100</v>
      </c>
      <c r="O9" s="82">
        <v>100</v>
      </c>
      <c r="P9" s="82">
        <v>100</v>
      </c>
      <c r="Q9" s="82">
        <v>100</v>
      </c>
      <c r="R9" s="82">
        <v>100</v>
      </c>
      <c r="S9" s="23">
        <v>100</v>
      </c>
      <c r="T9" s="23">
        <v>100</v>
      </c>
      <c r="U9" s="23">
        <v>100</v>
      </c>
      <c r="V9" s="7" t="s">
        <v>497</v>
      </c>
      <c r="W9" s="82">
        <f t="shared" ref="W9:W38" si="2">G9-H9</f>
        <v>13373</v>
      </c>
      <c r="X9" s="4"/>
      <c r="Y9" s="4"/>
      <c r="Z9" s="4"/>
      <c r="AA9" s="82"/>
      <c r="AB9" s="82"/>
      <c r="AC9" s="82"/>
      <c r="AD9" s="82"/>
      <c r="AE9" s="7" t="s">
        <v>379</v>
      </c>
      <c r="AH9" s="23">
        <f>SUM('2021 Detail'!J9:U9)+SUM('2021 Detail'!AA9)</f>
        <v>1200</v>
      </c>
      <c r="AJ9" s="23">
        <f t="shared" ref="AJ9:AJ40" si="3">H9-AH9</f>
        <v>0</v>
      </c>
      <c r="AL9" t="str">
        <f t="shared" ref="AL9:AL38" si="4">IF(AJ9&lt;0,"Down",IF(AJ9&gt;0,"Up","Same"))</f>
        <v>Same</v>
      </c>
      <c r="AQ9" s="23">
        <v>100</v>
      </c>
    </row>
    <row r="10" spans="1:43" x14ac:dyDescent="0.2">
      <c r="A10" s="252" t="s">
        <v>20</v>
      </c>
      <c r="B10" s="9" t="s">
        <v>495</v>
      </c>
      <c r="C10" s="9" t="s">
        <v>495</v>
      </c>
      <c r="D10" s="9" t="s">
        <v>495</v>
      </c>
      <c r="E10" s="9"/>
      <c r="F10" s="9">
        <v>0</v>
      </c>
      <c r="G10" s="83">
        <v>18217</v>
      </c>
      <c r="H10" s="83">
        <f t="shared" si="0"/>
        <v>15000</v>
      </c>
      <c r="I10" s="133">
        <f t="shared" si="1"/>
        <v>0.82340000000000002</v>
      </c>
      <c r="J10" s="82">
        <v>0</v>
      </c>
      <c r="K10" s="82"/>
      <c r="L10" s="82"/>
      <c r="M10" s="82"/>
      <c r="N10" s="82"/>
      <c r="O10" s="82"/>
      <c r="P10" s="82"/>
      <c r="Q10" s="82"/>
      <c r="R10" s="82"/>
      <c r="S10" s="23"/>
      <c r="T10" s="23"/>
      <c r="U10" s="23">
        <v>15000</v>
      </c>
      <c r="V10" s="7" t="s">
        <v>498</v>
      </c>
      <c r="W10" s="82">
        <f t="shared" si="2"/>
        <v>3217</v>
      </c>
      <c r="X10" s="4"/>
      <c r="Y10" s="4"/>
      <c r="Z10" s="4"/>
      <c r="AA10" s="82"/>
      <c r="AB10" s="82"/>
      <c r="AC10" s="82"/>
      <c r="AD10" s="82"/>
      <c r="AE10" s="7" t="s">
        <v>379</v>
      </c>
      <c r="AH10" s="23">
        <f>SUM('2021 Detail'!J10:U10)+SUM('2021 Detail'!AA10)</f>
        <v>12000</v>
      </c>
      <c r="AJ10" s="23">
        <f t="shared" si="3"/>
        <v>3000</v>
      </c>
      <c r="AL10" t="str">
        <f t="shared" si="4"/>
        <v>Up</v>
      </c>
      <c r="AQ10" s="23">
        <v>12000</v>
      </c>
    </row>
    <row r="11" spans="1:43" x14ac:dyDescent="0.2">
      <c r="A11" s="252" t="s">
        <v>21</v>
      </c>
      <c r="B11" s="9" t="s">
        <v>495</v>
      </c>
      <c r="C11" s="9" t="s">
        <v>495</v>
      </c>
      <c r="D11" s="9">
        <v>0</v>
      </c>
      <c r="E11" s="9"/>
      <c r="F11" s="9">
        <v>0</v>
      </c>
      <c r="G11" s="83">
        <v>75291</v>
      </c>
      <c r="H11" s="83">
        <f t="shared" si="0"/>
        <v>75291</v>
      </c>
      <c r="I11" s="133">
        <f t="shared" si="1"/>
        <v>1</v>
      </c>
      <c r="J11" s="82">
        <v>0</v>
      </c>
      <c r="K11" s="82">
        <v>7791</v>
      </c>
      <c r="L11" s="82">
        <v>7500</v>
      </c>
      <c r="M11" s="82"/>
      <c r="N11" s="82"/>
      <c r="O11" s="82">
        <v>22500</v>
      </c>
      <c r="P11" s="82"/>
      <c r="Q11" s="82">
        <v>7500</v>
      </c>
      <c r="R11" s="82">
        <v>7500</v>
      </c>
      <c r="S11" s="23">
        <v>7500</v>
      </c>
      <c r="T11" s="23">
        <v>7500</v>
      </c>
      <c r="U11" s="23">
        <v>7500</v>
      </c>
      <c r="V11" s="7" t="s">
        <v>499</v>
      </c>
      <c r="W11" s="82">
        <f t="shared" si="2"/>
        <v>0</v>
      </c>
      <c r="X11" s="4"/>
      <c r="Y11" s="4"/>
      <c r="Z11" s="4"/>
      <c r="AA11" s="82"/>
      <c r="AB11" s="82"/>
      <c r="AC11" s="82"/>
      <c r="AD11" s="82"/>
      <c r="AE11" s="7" t="s">
        <v>380</v>
      </c>
      <c r="AH11" s="23">
        <f>SUM('2021 Detail'!J11:U11)+SUM('2021 Detail'!AA11)</f>
        <v>75291</v>
      </c>
      <c r="AJ11" s="23">
        <f t="shared" si="3"/>
        <v>0</v>
      </c>
      <c r="AL11" t="str">
        <f t="shared" si="4"/>
        <v>Same</v>
      </c>
      <c r="AQ11" s="23">
        <v>7500</v>
      </c>
    </row>
    <row r="12" spans="1:43" x14ac:dyDescent="0.2">
      <c r="A12" s="252" t="s">
        <v>22</v>
      </c>
      <c r="B12" s="9" t="s">
        <v>495</v>
      </c>
      <c r="C12" s="9" t="s">
        <v>495</v>
      </c>
      <c r="D12" s="9" t="s">
        <v>495</v>
      </c>
      <c r="E12" s="9"/>
      <c r="F12" s="9">
        <v>0</v>
      </c>
      <c r="G12" s="83">
        <v>17737</v>
      </c>
      <c r="H12" s="83">
        <f t="shared" si="0"/>
        <v>17736.96</v>
      </c>
      <c r="I12" s="133">
        <f t="shared" si="1"/>
        <v>1</v>
      </c>
      <c r="J12" s="82">
        <v>1478.08</v>
      </c>
      <c r="K12" s="82">
        <v>1478.08</v>
      </c>
      <c r="L12" s="82">
        <v>1478.08</v>
      </c>
      <c r="M12" s="82">
        <v>1478.08</v>
      </c>
      <c r="N12" s="82">
        <v>1478.08</v>
      </c>
      <c r="O12" s="82">
        <v>1478.08</v>
      </c>
      <c r="P12" s="82">
        <v>1478.08</v>
      </c>
      <c r="Q12" s="82">
        <v>1478.08</v>
      </c>
      <c r="R12" s="82">
        <v>1478.08</v>
      </c>
      <c r="S12" s="23">
        <v>1478.08</v>
      </c>
      <c r="T12" s="23">
        <v>1478.08</v>
      </c>
      <c r="U12" s="23">
        <v>1478.08</v>
      </c>
      <c r="V12" s="7" t="s">
        <v>500</v>
      </c>
      <c r="W12" s="82">
        <f t="shared" si="2"/>
        <v>4.0000000000873115E-2</v>
      </c>
      <c r="X12" s="4"/>
      <c r="Y12" s="4"/>
      <c r="Z12" s="4"/>
      <c r="AA12" s="82"/>
      <c r="AB12" s="82"/>
      <c r="AC12" s="82"/>
      <c r="AD12" s="82"/>
      <c r="AE12" s="7" t="s">
        <v>381</v>
      </c>
      <c r="AH12" s="23">
        <f>SUM('2021 Detail'!J12:U12)+SUM('2021 Detail'!AA12)</f>
        <v>17736.96</v>
      </c>
      <c r="AJ12" s="23">
        <f t="shared" si="3"/>
        <v>0</v>
      </c>
      <c r="AL12" t="str">
        <f t="shared" si="4"/>
        <v>Same</v>
      </c>
      <c r="AQ12" s="23">
        <v>1478.08</v>
      </c>
    </row>
    <row r="13" spans="1:43" x14ac:dyDescent="0.2">
      <c r="A13" s="252" t="s">
        <v>23</v>
      </c>
      <c r="B13" s="9" t="s">
        <v>495</v>
      </c>
      <c r="C13" s="9" t="s">
        <v>495</v>
      </c>
      <c r="D13" s="9">
        <v>0</v>
      </c>
      <c r="E13" s="9"/>
      <c r="F13" s="9" t="s">
        <v>495</v>
      </c>
      <c r="G13" s="83">
        <v>13008</v>
      </c>
      <c r="H13" s="83">
        <f t="shared" si="0"/>
        <v>10300</v>
      </c>
      <c r="I13" s="133">
        <f t="shared" si="1"/>
        <v>0.79179999999999995</v>
      </c>
      <c r="J13" s="82">
        <v>600</v>
      </c>
      <c r="K13" s="82">
        <v>600</v>
      </c>
      <c r="L13" s="82">
        <v>600</v>
      </c>
      <c r="M13" s="82">
        <v>600</v>
      </c>
      <c r="N13" s="82">
        <v>600</v>
      </c>
      <c r="O13" s="82">
        <v>600</v>
      </c>
      <c r="P13" s="82">
        <v>600</v>
      </c>
      <c r="Q13" s="82">
        <v>600</v>
      </c>
      <c r="R13" s="82">
        <v>600</v>
      </c>
      <c r="S13" s="23">
        <v>600</v>
      </c>
      <c r="T13" s="23">
        <v>600</v>
      </c>
      <c r="U13" s="23">
        <v>600</v>
      </c>
      <c r="V13" s="7" t="s">
        <v>501</v>
      </c>
      <c r="W13" s="82">
        <f t="shared" si="2"/>
        <v>2708</v>
      </c>
      <c r="X13" s="4"/>
      <c r="Y13" s="4"/>
      <c r="Z13" s="4"/>
      <c r="AA13" s="82">
        <v>3100</v>
      </c>
      <c r="AB13" s="82"/>
      <c r="AC13" s="82"/>
      <c r="AD13" s="82"/>
      <c r="AE13" s="7" t="s">
        <v>381</v>
      </c>
      <c r="AH13" s="23">
        <f>SUM('2021 Detail'!J13:U13)+SUM('2021 Detail'!AA13)</f>
        <v>10200</v>
      </c>
      <c r="AJ13" s="23">
        <f t="shared" si="3"/>
        <v>100</v>
      </c>
      <c r="AL13" t="str">
        <f t="shared" si="4"/>
        <v>Up</v>
      </c>
      <c r="AQ13" s="23">
        <v>3600</v>
      </c>
    </row>
    <row r="14" spans="1:43" x14ac:dyDescent="0.2">
      <c r="A14" s="252" t="s">
        <v>24</v>
      </c>
      <c r="B14" s="9" t="s">
        <v>495</v>
      </c>
      <c r="C14" s="9" t="s">
        <v>495</v>
      </c>
      <c r="D14" s="9" t="s">
        <v>495</v>
      </c>
      <c r="E14" s="9"/>
      <c r="F14" s="9">
        <v>0</v>
      </c>
      <c r="G14" s="83">
        <v>8747</v>
      </c>
      <c r="H14" s="83">
        <f t="shared" si="0"/>
        <v>4000</v>
      </c>
      <c r="I14" s="133">
        <f t="shared" si="1"/>
        <v>0.45729999999999998</v>
      </c>
      <c r="J14" s="82">
        <v>0</v>
      </c>
      <c r="K14" s="82"/>
      <c r="L14" s="82"/>
      <c r="M14" s="82">
        <v>300</v>
      </c>
      <c r="N14" s="82"/>
      <c r="O14" s="82">
        <v>300</v>
      </c>
      <c r="P14" s="82">
        <v>100</v>
      </c>
      <c r="Q14" s="82">
        <v>100</v>
      </c>
      <c r="R14" s="82">
        <v>100</v>
      </c>
      <c r="S14" s="23"/>
      <c r="T14" s="23">
        <v>3100</v>
      </c>
      <c r="U14" s="23"/>
      <c r="V14" s="7" t="s">
        <v>502</v>
      </c>
      <c r="W14" s="82">
        <f t="shared" si="2"/>
        <v>4747</v>
      </c>
      <c r="X14" s="4"/>
      <c r="Y14" s="4"/>
      <c r="Z14" s="4"/>
      <c r="AA14" s="82"/>
      <c r="AB14" s="82"/>
      <c r="AC14" s="82"/>
      <c r="AD14" s="82"/>
      <c r="AE14" s="7" t="s">
        <v>382</v>
      </c>
      <c r="AH14" s="23">
        <f>SUM('2021 Detail'!J14:U14)+SUM('2021 Detail'!AA14)</f>
        <v>4400</v>
      </c>
      <c r="AJ14" s="23">
        <f t="shared" si="3"/>
        <v>-400</v>
      </c>
      <c r="AL14" t="str">
        <f t="shared" si="4"/>
        <v>Down</v>
      </c>
      <c r="AQ14" s="23">
        <v>3100</v>
      </c>
    </row>
    <row r="15" spans="1:43" x14ac:dyDescent="0.2">
      <c r="A15" s="252" t="s">
        <v>25</v>
      </c>
      <c r="B15" s="9" t="s">
        <v>495</v>
      </c>
      <c r="C15" s="9" t="s">
        <v>495</v>
      </c>
      <c r="D15" s="9" t="s">
        <v>495</v>
      </c>
      <c r="E15" s="9"/>
      <c r="F15" s="9">
        <v>0</v>
      </c>
      <c r="G15" s="83">
        <v>2850</v>
      </c>
      <c r="H15" s="83">
        <f t="shared" si="0"/>
        <v>2850</v>
      </c>
      <c r="I15" s="133">
        <f t="shared" si="1"/>
        <v>1</v>
      </c>
      <c r="J15" s="82">
        <v>0</v>
      </c>
      <c r="K15" s="82"/>
      <c r="L15" s="82"/>
      <c r="M15" s="82"/>
      <c r="N15" s="82"/>
      <c r="O15" s="82">
        <v>1000</v>
      </c>
      <c r="P15" s="82"/>
      <c r="Q15" s="82"/>
      <c r="R15" s="82"/>
      <c r="S15" s="23"/>
      <c r="T15" s="23">
        <v>1850</v>
      </c>
      <c r="U15" s="23"/>
      <c r="V15" s="7" t="s">
        <v>503</v>
      </c>
      <c r="W15" s="82">
        <f t="shared" si="2"/>
        <v>0</v>
      </c>
      <c r="X15" s="4"/>
      <c r="Y15" s="4"/>
      <c r="Z15" s="4"/>
      <c r="AA15" s="82"/>
      <c r="AB15" s="82"/>
      <c r="AC15" s="82"/>
      <c r="AD15" s="82"/>
      <c r="AE15" s="7" t="s">
        <v>382</v>
      </c>
      <c r="AH15" s="23">
        <f>SUM('2021 Detail'!J15:U15)+SUM('2021 Detail'!AA15)</f>
        <v>2850</v>
      </c>
      <c r="AJ15" s="23">
        <f t="shared" si="3"/>
        <v>0</v>
      </c>
      <c r="AL15" t="str">
        <f t="shared" si="4"/>
        <v>Same</v>
      </c>
      <c r="AQ15" s="23">
        <v>2350</v>
      </c>
    </row>
    <row r="16" spans="1:43" x14ac:dyDescent="0.2">
      <c r="A16" s="252" t="s">
        <v>26</v>
      </c>
      <c r="B16" s="9" t="s">
        <v>495</v>
      </c>
      <c r="C16" s="9" t="s">
        <v>495</v>
      </c>
      <c r="D16" s="9" t="s">
        <v>495</v>
      </c>
      <c r="E16" s="9"/>
      <c r="F16" s="9">
        <v>0</v>
      </c>
      <c r="G16" s="83">
        <v>8672</v>
      </c>
      <c r="H16" s="83">
        <f t="shared" si="0"/>
        <v>8672</v>
      </c>
      <c r="I16" s="133">
        <f t="shared" si="1"/>
        <v>1</v>
      </c>
      <c r="J16" s="82">
        <v>528</v>
      </c>
      <c r="K16" s="82">
        <v>400</v>
      </c>
      <c r="L16" s="82">
        <v>400</v>
      </c>
      <c r="M16" s="82">
        <v>400</v>
      </c>
      <c r="N16" s="82">
        <v>400</v>
      </c>
      <c r="O16" s="82">
        <v>400</v>
      </c>
      <c r="P16" s="82">
        <v>400</v>
      </c>
      <c r="Q16" s="82">
        <v>400</v>
      </c>
      <c r="R16" s="82">
        <v>400</v>
      </c>
      <c r="S16" s="23">
        <v>4144</v>
      </c>
      <c r="T16" s="23">
        <v>400</v>
      </c>
      <c r="U16" s="82">
        <v>400</v>
      </c>
      <c r="V16" s="7" t="s">
        <v>504</v>
      </c>
      <c r="W16" s="82">
        <f t="shared" si="2"/>
        <v>0</v>
      </c>
      <c r="X16" s="4"/>
      <c r="Y16" s="4"/>
      <c r="Z16" s="4"/>
      <c r="AA16" s="82"/>
      <c r="AB16" s="82"/>
      <c r="AC16" s="82"/>
      <c r="AD16" s="82"/>
      <c r="AE16" s="7" t="s">
        <v>381</v>
      </c>
      <c r="AH16" s="23">
        <f>SUM('2021 Detail'!J16:U16)+SUM('2021 Detail'!AA16)</f>
        <v>8672</v>
      </c>
      <c r="AJ16" s="23">
        <f t="shared" si="3"/>
        <v>0</v>
      </c>
      <c r="AL16" t="str">
        <f t="shared" si="4"/>
        <v>Same</v>
      </c>
      <c r="AQ16" s="23">
        <v>272</v>
      </c>
    </row>
    <row r="17" spans="1:43" x14ac:dyDescent="0.2">
      <c r="A17" s="252" t="s">
        <v>27</v>
      </c>
      <c r="B17" s="9" t="s">
        <v>495</v>
      </c>
      <c r="C17" s="9" t="s">
        <v>495</v>
      </c>
      <c r="D17" s="9">
        <v>0</v>
      </c>
      <c r="E17" s="9"/>
      <c r="F17" s="9">
        <v>0</v>
      </c>
      <c r="G17" s="83">
        <v>8512</v>
      </c>
      <c r="H17" s="83">
        <f t="shared" si="0"/>
        <v>8512</v>
      </c>
      <c r="I17" s="133">
        <f t="shared" si="1"/>
        <v>1</v>
      </c>
      <c r="J17" s="82">
        <v>0</v>
      </c>
      <c r="K17" s="82"/>
      <c r="L17" s="82">
        <v>3000</v>
      </c>
      <c r="M17" s="82"/>
      <c r="N17" s="82"/>
      <c r="O17" s="82">
        <v>3000</v>
      </c>
      <c r="P17" s="82"/>
      <c r="Q17" s="82"/>
      <c r="R17" s="82">
        <v>2512</v>
      </c>
      <c r="S17" s="23"/>
      <c r="T17" s="23"/>
      <c r="U17" s="82"/>
      <c r="V17" s="7" t="s">
        <v>505</v>
      </c>
      <c r="W17" s="82">
        <f t="shared" si="2"/>
        <v>0</v>
      </c>
      <c r="X17" s="4"/>
      <c r="Y17" s="4"/>
      <c r="Z17" s="4"/>
      <c r="AA17" s="82"/>
      <c r="AB17" s="82"/>
      <c r="AC17" s="82"/>
      <c r="AD17" s="82"/>
      <c r="AE17" s="7" t="s">
        <v>382</v>
      </c>
      <c r="AH17" s="23">
        <f>SUM('2021 Detail'!J17:U17)+SUM('2021 Detail'!AA17)</f>
        <v>8512</v>
      </c>
      <c r="AJ17" s="23">
        <f t="shared" si="3"/>
        <v>0</v>
      </c>
      <c r="AL17" t="str">
        <f t="shared" si="4"/>
        <v>Same</v>
      </c>
    </row>
    <row r="18" spans="1:43" x14ac:dyDescent="0.2">
      <c r="A18" s="252" t="s">
        <v>28</v>
      </c>
      <c r="B18" s="9" t="s">
        <v>495</v>
      </c>
      <c r="C18" s="9" t="s">
        <v>495</v>
      </c>
      <c r="D18" s="9" t="s">
        <v>495</v>
      </c>
      <c r="E18" s="9"/>
      <c r="F18" s="9">
        <v>0</v>
      </c>
      <c r="G18" s="83">
        <v>10083</v>
      </c>
      <c r="H18" s="83">
        <f t="shared" si="0"/>
        <v>10000</v>
      </c>
      <c r="I18" s="133">
        <f t="shared" si="1"/>
        <v>0.99180000000000001</v>
      </c>
      <c r="J18" s="82">
        <v>0</v>
      </c>
      <c r="K18" s="82"/>
      <c r="L18" s="82">
        <v>2000</v>
      </c>
      <c r="M18" s="82"/>
      <c r="N18" s="82">
        <v>1000</v>
      </c>
      <c r="O18" s="82">
        <v>2000</v>
      </c>
      <c r="P18" s="82"/>
      <c r="Q18" s="82"/>
      <c r="R18" s="82">
        <v>2000</v>
      </c>
      <c r="S18" s="23"/>
      <c r="T18" s="23"/>
      <c r="U18" s="82">
        <v>3000</v>
      </c>
      <c r="V18" s="7" t="s">
        <v>506</v>
      </c>
      <c r="W18" s="82">
        <f t="shared" si="2"/>
        <v>83</v>
      </c>
      <c r="X18" s="4"/>
      <c r="Y18" s="4"/>
      <c r="Z18" s="4"/>
      <c r="AA18" s="82"/>
      <c r="AB18" s="82"/>
      <c r="AC18" s="82"/>
      <c r="AD18" s="82"/>
      <c r="AE18" s="7" t="s">
        <v>383</v>
      </c>
      <c r="AH18" s="23">
        <f>SUM('2021 Detail'!J18:U18)+SUM('2021 Detail'!AA18)</f>
        <v>9000</v>
      </c>
      <c r="AJ18" s="23">
        <f t="shared" si="3"/>
        <v>1000</v>
      </c>
      <c r="AL18" t="str">
        <f t="shared" si="4"/>
        <v>Up</v>
      </c>
      <c r="AQ18" s="23">
        <v>1000</v>
      </c>
    </row>
    <row r="19" spans="1:43" x14ac:dyDescent="0.2">
      <c r="A19" s="252" t="s">
        <v>29</v>
      </c>
      <c r="B19" s="9" t="s">
        <v>495</v>
      </c>
      <c r="C19" s="9" t="s">
        <v>495</v>
      </c>
      <c r="D19" s="9" t="s">
        <v>495</v>
      </c>
      <c r="E19" s="9"/>
      <c r="F19" s="9">
        <v>0</v>
      </c>
      <c r="G19" s="83">
        <v>5788</v>
      </c>
      <c r="H19" s="83">
        <f t="shared" si="0"/>
        <v>3520</v>
      </c>
      <c r="I19" s="133">
        <f t="shared" si="1"/>
        <v>0.60819999999999996</v>
      </c>
      <c r="J19" s="82">
        <v>0</v>
      </c>
      <c r="K19" s="82"/>
      <c r="L19" s="82"/>
      <c r="M19" s="82">
        <v>750</v>
      </c>
      <c r="N19" s="82">
        <v>10</v>
      </c>
      <c r="O19" s="82"/>
      <c r="P19" s="82"/>
      <c r="Q19" s="82"/>
      <c r="R19" s="82"/>
      <c r="S19" s="23"/>
      <c r="T19" s="23"/>
      <c r="U19" s="82">
        <v>2760</v>
      </c>
      <c r="V19" s="7" t="s">
        <v>507</v>
      </c>
      <c r="W19" s="82">
        <f t="shared" si="2"/>
        <v>2268</v>
      </c>
      <c r="X19" s="4"/>
      <c r="Y19" s="4"/>
      <c r="Z19" s="4"/>
      <c r="AA19" s="82"/>
      <c r="AB19" s="82"/>
      <c r="AC19" s="82"/>
      <c r="AD19" s="82"/>
      <c r="AE19" s="7" t="s">
        <v>383</v>
      </c>
      <c r="AH19" s="23">
        <f>SUM('2021 Detail'!J19:U19)+SUM('2021 Detail'!AA19)</f>
        <v>1710</v>
      </c>
      <c r="AJ19" s="23">
        <f t="shared" si="3"/>
        <v>1810</v>
      </c>
      <c r="AL19" t="str">
        <f t="shared" si="4"/>
        <v>Up</v>
      </c>
      <c r="AQ19" s="23">
        <v>700</v>
      </c>
    </row>
    <row r="20" spans="1:43" x14ac:dyDescent="0.2">
      <c r="A20" s="252" t="s">
        <v>30</v>
      </c>
      <c r="B20" s="9" t="s">
        <v>495</v>
      </c>
      <c r="C20" s="9" t="s">
        <v>495</v>
      </c>
      <c r="D20" s="9" t="s">
        <v>495</v>
      </c>
      <c r="E20" s="9"/>
      <c r="F20" s="9">
        <v>0</v>
      </c>
      <c r="G20" s="83">
        <v>7287</v>
      </c>
      <c r="H20" s="83">
        <f t="shared" si="0"/>
        <v>7000</v>
      </c>
      <c r="I20" s="133">
        <f t="shared" si="1"/>
        <v>0.96060000000000001</v>
      </c>
      <c r="J20" s="82">
        <v>0</v>
      </c>
      <c r="K20" s="82"/>
      <c r="L20" s="82"/>
      <c r="M20" s="82"/>
      <c r="N20" s="82">
        <v>2000</v>
      </c>
      <c r="O20" s="82"/>
      <c r="P20" s="82"/>
      <c r="Q20" s="82">
        <v>3000</v>
      </c>
      <c r="R20" s="82"/>
      <c r="S20" s="23">
        <v>2000</v>
      </c>
      <c r="T20" s="23"/>
      <c r="U20" s="23"/>
      <c r="V20" s="7" t="s">
        <v>508</v>
      </c>
      <c r="W20" s="82">
        <f t="shared" si="2"/>
        <v>287</v>
      </c>
      <c r="X20" s="4"/>
      <c r="Y20" s="4"/>
      <c r="Z20" s="4"/>
      <c r="AA20" s="82"/>
      <c r="AB20" s="82"/>
      <c r="AC20" s="82"/>
      <c r="AD20" s="82"/>
      <c r="AE20" s="7" t="s">
        <v>379</v>
      </c>
      <c r="AH20" s="23">
        <f>SUM('2021 Detail'!J20:U20)+SUM('2021 Detail'!AA20)</f>
        <v>2000</v>
      </c>
      <c r="AJ20" s="23">
        <f t="shared" si="3"/>
        <v>5000</v>
      </c>
      <c r="AL20" t="str">
        <f t="shared" si="4"/>
        <v>Up</v>
      </c>
    </row>
    <row r="21" spans="1:43" x14ac:dyDescent="0.2">
      <c r="A21" s="252" t="s">
        <v>31</v>
      </c>
      <c r="B21" s="9" t="s">
        <v>495</v>
      </c>
      <c r="C21" s="9">
        <v>0</v>
      </c>
      <c r="D21" s="9">
        <v>0</v>
      </c>
      <c r="E21" s="9"/>
      <c r="F21" s="9" t="s">
        <v>495</v>
      </c>
      <c r="G21" s="83">
        <v>7287</v>
      </c>
      <c r="H21" s="83">
        <f t="shared" si="0"/>
        <v>4044</v>
      </c>
      <c r="I21" s="133">
        <f t="shared" si="1"/>
        <v>0.55500000000000005</v>
      </c>
      <c r="J21" s="82">
        <v>337</v>
      </c>
      <c r="K21" s="82">
        <v>337</v>
      </c>
      <c r="L21" s="82">
        <v>337</v>
      </c>
      <c r="M21" s="82">
        <v>337</v>
      </c>
      <c r="N21" s="82">
        <v>337</v>
      </c>
      <c r="O21" s="82">
        <v>337</v>
      </c>
      <c r="P21" s="82">
        <v>337</v>
      </c>
      <c r="Q21" s="82">
        <v>337</v>
      </c>
      <c r="R21" s="82">
        <v>337</v>
      </c>
      <c r="S21" s="23">
        <v>337</v>
      </c>
      <c r="T21" s="23">
        <v>337</v>
      </c>
      <c r="U21" s="23">
        <v>337</v>
      </c>
      <c r="V21" s="7" t="s">
        <v>509</v>
      </c>
      <c r="W21" s="82">
        <f t="shared" si="2"/>
        <v>3243</v>
      </c>
      <c r="X21" s="4"/>
      <c r="Y21" s="4"/>
      <c r="Z21" s="4"/>
      <c r="AA21" s="82"/>
      <c r="AB21" s="82"/>
      <c r="AC21" s="82"/>
      <c r="AD21" s="82"/>
      <c r="AE21" s="7" t="s">
        <v>379</v>
      </c>
      <c r="AH21" s="23">
        <f>SUM('2021 Detail'!J21:U21)+SUM('2021 Detail'!AA21)</f>
        <v>4381.09</v>
      </c>
      <c r="AJ21" s="23">
        <f t="shared" si="3"/>
        <v>-337.09000000000015</v>
      </c>
      <c r="AL21" t="str">
        <f t="shared" si="4"/>
        <v>Down</v>
      </c>
      <c r="AQ21" s="23">
        <v>337</v>
      </c>
    </row>
    <row r="22" spans="1:43" x14ac:dyDescent="0.2">
      <c r="A22" s="252" t="s">
        <v>32</v>
      </c>
      <c r="B22" s="9">
        <v>0</v>
      </c>
      <c r="C22" s="9" t="s">
        <v>495</v>
      </c>
      <c r="D22" s="9" t="s">
        <v>495</v>
      </c>
      <c r="E22" s="9"/>
      <c r="F22" s="9">
        <v>0</v>
      </c>
      <c r="G22" s="83">
        <v>9804</v>
      </c>
      <c r="H22" s="83">
        <f t="shared" si="0"/>
        <v>9804</v>
      </c>
      <c r="I22" s="133">
        <f t="shared" si="1"/>
        <v>1</v>
      </c>
      <c r="J22" s="82">
        <v>0</v>
      </c>
      <c r="K22" s="82"/>
      <c r="L22" s="82"/>
      <c r="M22" s="82"/>
      <c r="N22" s="82"/>
      <c r="O22" s="82"/>
      <c r="P22" s="82"/>
      <c r="Q22" s="82"/>
      <c r="R22" s="82">
        <v>9804</v>
      </c>
      <c r="S22" s="23"/>
      <c r="T22" s="23"/>
      <c r="U22" s="23"/>
      <c r="V22" s="7" t="s">
        <v>510</v>
      </c>
      <c r="W22" s="82">
        <f t="shared" si="2"/>
        <v>0</v>
      </c>
      <c r="X22" s="4"/>
      <c r="Y22" s="4"/>
      <c r="Z22" s="4"/>
      <c r="AA22" s="82"/>
      <c r="AB22" s="82"/>
      <c r="AC22" s="82"/>
      <c r="AD22" s="82"/>
      <c r="AE22" s="7" t="s">
        <v>383</v>
      </c>
      <c r="AH22" s="23">
        <f>SUM('2021 Detail'!J22:U22)+SUM('2021 Detail'!AA22)</f>
        <v>7125</v>
      </c>
      <c r="AJ22" s="23">
        <f t="shared" si="3"/>
        <v>2679</v>
      </c>
      <c r="AL22" t="str">
        <f t="shared" si="4"/>
        <v>Up</v>
      </c>
    </row>
    <row r="23" spans="1:43" x14ac:dyDescent="0.2">
      <c r="A23" s="252" t="s">
        <v>1147</v>
      </c>
      <c r="B23" s="9" t="s">
        <v>495</v>
      </c>
      <c r="C23" s="9" t="s">
        <v>495</v>
      </c>
      <c r="D23" s="9" t="s">
        <v>495</v>
      </c>
      <c r="E23" s="9"/>
      <c r="F23" s="9">
        <v>0</v>
      </c>
      <c r="G23" s="83">
        <v>23628</v>
      </c>
      <c r="H23" s="83">
        <f t="shared" si="0"/>
        <v>22150</v>
      </c>
      <c r="I23" s="133">
        <f t="shared" si="1"/>
        <v>0.93740000000000001</v>
      </c>
      <c r="J23" s="82">
        <v>0</v>
      </c>
      <c r="K23" s="82"/>
      <c r="L23" s="82"/>
      <c r="M23" s="82">
        <v>4075</v>
      </c>
      <c r="N23" s="82"/>
      <c r="O23" s="82"/>
      <c r="P23" s="82">
        <v>7000</v>
      </c>
      <c r="Q23" s="82"/>
      <c r="R23" s="82"/>
      <c r="S23" s="23">
        <v>4075</v>
      </c>
      <c r="T23" s="23"/>
      <c r="U23" s="23">
        <v>7000</v>
      </c>
      <c r="V23" s="7" t="s">
        <v>511</v>
      </c>
      <c r="W23" s="82">
        <f t="shared" si="2"/>
        <v>1478</v>
      </c>
      <c r="X23" s="4"/>
      <c r="Y23" s="4"/>
      <c r="Z23" s="4"/>
      <c r="AA23" s="82"/>
      <c r="AB23" s="82"/>
      <c r="AC23" s="82"/>
      <c r="AD23" s="82"/>
      <c r="AE23" s="10" t="s">
        <v>384</v>
      </c>
      <c r="AH23" s="23">
        <f>SUM('2021 Detail'!J23:U23)+SUM('2021 Detail'!AA23)</f>
        <v>18276</v>
      </c>
      <c r="AJ23" s="23">
        <f t="shared" si="3"/>
        <v>3874</v>
      </c>
      <c r="AL23" t="str">
        <f t="shared" si="4"/>
        <v>Up</v>
      </c>
      <c r="AQ23" s="23">
        <v>5655.85</v>
      </c>
    </row>
    <row r="24" spans="1:43" x14ac:dyDescent="0.2">
      <c r="A24" s="252" t="s">
        <v>374</v>
      </c>
      <c r="B24" s="9"/>
      <c r="C24" s="9"/>
      <c r="E24" s="9"/>
      <c r="F24" s="9"/>
      <c r="G24" s="83">
        <v>3475</v>
      </c>
      <c r="H24" s="83">
        <f t="shared" si="0"/>
        <v>7373.4000000000005</v>
      </c>
      <c r="I24" s="133">
        <f t="shared" si="1"/>
        <v>2.1217999999999999</v>
      </c>
      <c r="J24" s="82"/>
      <c r="K24" s="82"/>
      <c r="L24" s="82"/>
      <c r="M24" s="82">
        <v>1114</v>
      </c>
      <c r="N24" s="82"/>
      <c r="O24" s="82"/>
      <c r="P24" s="82">
        <v>5504.05</v>
      </c>
      <c r="Q24" s="82"/>
      <c r="R24" s="82"/>
      <c r="S24" s="23">
        <v>755.21</v>
      </c>
      <c r="T24" s="23"/>
      <c r="U24" s="23">
        <v>0.14000000000000001</v>
      </c>
      <c r="V24" s="7" t="s">
        <v>1149</v>
      </c>
      <c r="W24" s="82">
        <f t="shared" si="2"/>
        <v>-3898.4000000000005</v>
      </c>
      <c r="X24" s="4"/>
      <c r="Y24" s="4"/>
      <c r="Z24" s="4"/>
      <c r="AA24" s="82"/>
      <c r="AB24" s="82"/>
      <c r="AC24" s="82"/>
      <c r="AD24" s="82"/>
      <c r="AE24" s="10" t="s">
        <v>384</v>
      </c>
      <c r="AH24" s="23">
        <v>0</v>
      </c>
      <c r="AJ24" s="23">
        <f t="shared" si="3"/>
        <v>7373.4000000000005</v>
      </c>
      <c r="AL24" t="str">
        <f t="shared" si="4"/>
        <v>Up</v>
      </c>
    </row>
    <row r="25" spans="1:43" x14ac:dyDescent="0.2">
      <c r="A25" s="252" t="s">
        <v>33</v>
      </c>
      <c r="B25" s="9">
        <v>0</v>
      </c>
      <c r="C25" s="9" t="s">
        <v>495</v>
      </c>
      <c r="D25" s="9">
        <v>0</v>
      </c>
      <c r="E25" s="9"/>
      <c r="F25" s="9" t="s">
        <v>495</v>
      </c>
      <c r="G25" s="83">
        <v>50085</v>
      </c>
      <c r="H25" s="83">
        <f t="shared" si="0"/>
        <v>31000</v>
      </c>
      <c r="I25" s="133">
        <f t="shared" si="1"/>
        <v>0.61890000000000001</v>
      </c>
      <c r="J25" s="82">
        <v>0</v>
      </c>
      <c r="K25" s="82"/>
      <c r="L25" s="82"/>
      <c r="M25" s="82"/>
      <c r="N25" s="82"/>
      <c r="O25" s="82"/>
      <c r="P25" s="82"/>
      <c r="Q25" s="82"/>
      <c r="R25" s="82"/>
      <c r="S25" s="23"/>
      <c r="T25" s="23"/>
      <c r="V25" s="7" t="s">
        <v>512</v>
      </c>
      <c r="W25" s="82">
        <f t="shared" si="2"/>
        <v>19085</v>
      </c>
      <c r="X25" s="4"/>
      <c r="Y25" s="4"/>
      <c r="Z25" s="4"/>
      <c r="AA25" s="82"/>
      <c r="AB25" s="82">
        <v>31000</v>
      </c>
      <c r="AC25" s="82"/>
      <c r="AD25" s="82"/>
      <c r="AE25" s="10" t="s">
        <v>385</v>
      </c>
      <c r="AH25" s="23">
        <f>SUM('2021 Detail'!J24:U24)+SUM('2021 Detail'!AA24)</f>
        <v>20034</v>
      </c>
      <c r="AJ25" s="23">
        <f t="shared" si="3"/>
        <v>10966</v>
      </c>
      <c r="AL25" t="str">
        <f t="shared" si="4"/>
        <v>Up</v>
      </c>
      <c r="AQ25" s="23">
        <v>11686.5</v>
      </c>
    </row>
    <row r="26" spans="1:43" x14ac:dyDescent="0.2">
      <c r="A26" s="252" t="s">
        <v>34</v>
      </c>
      <c r="B26" s="9" t="s">
        <v>495</v>
      </c>
      <c r="C26" s="9">
        <v>0</v>
      </c>
      <c r="D26" s="9" t="s">
        <v>495</v>
      </c>
      <c r="E26" s="9"/>
      <c r="F26" s="9" t="s">
        <v>495</v>
      </c>
      <c r="G26" s="83">
        <v>20033</v>
      </c>
      <c r="H26" s="83">
        <f t="shared" si="0"/>
        <v>20033</v>
      </c>
      <c r="I26" s="133">
        <f t="shared" si="1"/>
        <v>1</v>
      </c>
      <c r="J26" s="82">
        <v>1669.49</v>
      </c>
      <c r="K26" s="82">
        <v>1669.41</v>
      </c>
      <c r="L26" s="82">
        <v>1669.41</v>
      </c>
      <c r="M26" s="82">
        <v>1669.41</v>
      </c>
      <c r="N26" s="82">
        <v>1669.41</v>
      </c>
      <c r="O26" s="82">
        <v>1669.41</v>
      </c>
      <c r="P26" s="82">
        <v>1669.41</v>
      </c>
      <c r="Q26" s="82">
        <v>1669.41</v>
      </c>
      <c r="R26" s="82">
        <v>1669.41</v>
      </c>
      <c r="S26" s="23">
        <v>1669.41</v>
      </c>
      <c r="T26" s="23">
        <v>1669.41</v>
      </c>
      <c r="U26" s="23">
        <v>1669.41</v>
      </c>
      <c r="V26" s="7" t="s">
        <v>513</v>
      </c>
      <c r="W26" s="82">
        <f t="shared" si="2"/>
        <v>0</v>
      </c>
      <c r="X26" s="4"/>
      <c r="Y26" s="4"/>
      <c r="Z26" s="4"/>
      <c r="AA26" s="82"/>
      <c r="AB26" s="82"/>
      <c r="AC26" s="82"/>
      <c r="AD26" s="82"/>
      <c r="AE26" s="10" t="s">
        <v>385</v>
      </c>
      <c r="AH26" s="23">
        <f>SUM('2021 Detail'!J25:U25)+SUM('2021 Detail'!AA25)</f>
        <v>20033</v>
      </c>
      <c r="AJ26" s="23">
        <f t="shared" si="3"/>
        <v>0</v>
      </c>
      <c r="AL26" t="str">
        <f t="shared" si="4"/>
        <v>Same</v>
      </c>
      <c r="AQ26" s="23">
        <v>1669.41</v>
      </c>
    </row>
    <row r="27" spans="1:43" x14ac:dyDescent="0.2">
      <c r="A27" s="252" t="s">
        <v>35</v>
      </c>
      <c r="B27" s="9">
        <v>0</v>
      </c>
      <c r="C27" s="9" t="s">
        <v>495</v>
      </c>
      <c r="D27" s="9">
        <v>0</v>
      </c>
      <c r="E27" s="9"/>
      <c r="F27" s="9" t="s">
        <v>495</v>
      </c>
      <c r="G27" s="83">
        <v>10083</v>
      </c>
      <c r="H27" s="83">
        <f t="shared" si="0"/>
        <v>6858</v>
      </c>
      <c r="I27" s="133">
        <f t="shared" si="1"/>
        <v>0.68020000000000003</v>
      </c>
      <c r="J27" s="82">
        <v>0</v>
      </c>
      <c r="K27" s="82"/>
      <c r="L27" s="82"/>
      <c r="M27" s="82"/>
      <c r="N27" s="82"/>
      <c r="O27" s="82"/>
      <c r="P27" s="82">
        <v>1000</v>
      </c>
      <c r="Q27" s="82">
        <v>1000</v>
      </c>
      <c r="R27" s="82">
        <v>1000</v>
      </c>
      <c r="S27" s="23">
        <v>1000</v>
      </c>
      <c r="T27" s="23">
        <v>1000</v>
      </c>
      <c r="U27" s="23">
        <v>1000</v>
      </c>
      <c r="V27" s="7" t="s">
        <v>514</v>
      </c>
      <c r="W27" s="82">
        <f t="shared" si="2"/>
        <v>3225</v>
      </c>
      <c r="X27" s="4"/>
      <c r="Y27" s="4"/>
      <c r="Z27" s="4"/>
      <c r="AA27" s="82">
        <v>858</v>
      </c>
      <c r="AB27" s="82"/>
      <c r="AC27" s="82"/>
      <c r="AD27" s="82"/>
      <c r="AE27" s="10" t="s">
        <v>383</v>
      </c>
      <c r="AH27" s="23">
        <f>SUM('2021 Detail'!J26:U26)+SUM('2021 Detail'!AA26)</f>
        <v>7799.9700000000012</v>
      </c>
      <c r="AJ27" s="23">
        <f t="shared" si="3"/>
        <v>-941.97000000000116</v>
      </c>
      <c r="AL27" t="str">
        <f t="shared" si="4"/>
        <v>Down</v>
      </c>
      <c r="AQ27" s="23">
        <v>0</v>
      </c>
    </row>
    <row r="28" spans="1:43" x14ac:dyDescent="0.2">
      <c r="A28" s="252" t="s">
        <v>36</v>
      </c>
      <c r="B28" s="9" t="s">
        <v>495</v>
      </c>
      <c r="C28" s="9" t="s">
        <v>495</v>
      </c>
      <c r="D28" s="9" t="s">
        <v>495</v>
      </c>
      <c r="E28" s="9"/>
      <c r="F28" s="9" t="s">
        <v>495</v>
      </c>
      <c r="G28" s="83">
        <v>6161</v>
      </c>
      <c r="H28" s="83">
        <f t="shared" si="0"/>
        <v>2167.5600000000004</v>
      </c>
      <c r="I28" s="133">
        <f t="shared" si="1"/>
        <v>0.3518</v>
      </c>
      <c r="J28" s="82">
        <v>180.63</v>
      </c>
      <c r="K28" s="82">
        <v>180.63</v>
      </c>
      <c r="L28" s="82">
        <v>180.63</v>
      </c>
      <c r="M28" s="82">
        <v>180.63</v>
      </c>
      <c r="N28" s="82">
        <v>180.63</v>
      </c>
      <c r="O28" s="82">
        <v>180.63</v>
      </c>
      <c r="P28" s="82">
        <v>180.63</v>
      </c>
      <c r="Q28" s="82">
        <v>180.63</v>
      </c>
      <c r="R28" s="82">
        <v>180.63</v>
      </c>
      <c r="S28" s="23">
        <v>180.63</v>
      </c>
      <c r="T28" s="23">
        <v>180.63</v>
      </c>
      <c r="U28" s="23">
        <v>180.63</v>
      </c>
      <c r="V28" s="7" t="s">
        <v>515</v>
      </c>
      <c r="W28" s="82">
        <f t="shared" si="2"/>
        <v>3993.4399999999996</v>
      </c>
      <c r="X28" s="4"/>
      <c r="Y28" s="4"/>
      <c r="Z28" s="4"/>
      <c r="AA28" s="82"/>
      <c r="AB28" s="82"/>
      <c r="AC28" s="82"/>
      <c r="AD28" s="82"/>
      <c r="AE28" s="10" t="s">
        <v>383</v>
      </c>
      <c r="AH28" s="23">
        <f>SUM('2021 Detail'!J27:U27)+SUM('2021 Detail'!AA27)</f>
        <v>2167.5600000000004</v>
      </c>
      <c r="AJ28" s="23">
        <f t="shared" si="3"/>
        <v>0</v>
      </c>
      <c r="AL28" t="str">
        <f t="shared" si="4"/>
        <v>Same</v>
      </c>
      <c r="AQ28" s="23">
        <v>180.63</v>
      </c>
    </row>
    <row r="29" spans="1:43" x14ac:dyDescent="0.2">
      <c r="A29" s="252" t="s">
        <v>37</v>
      </c>
      <c r="B29" s="9">
        <v>0</v>
      </c>
      <c r="C29" s="9">
        <v>0</v>
      </c>
      <c r="D29" s="9">
        <v>0</v>
      </c>
      <c r="E29" s="9"/>
      <c r="F29" s="9" t="s">
        <v>495</v>
      </c>
      <c r="G29" s="83">
        <v>6254</v>
      </c>
      <c r="H29" s="83">
        <f t="shared" si="0"/>
        <v>6253.9999999999991</v>
      </c>
      <c r="I29" s="133">
        <f t="shared" si="1"/>
        <v>1</v>
      </c>
      <c r="J29" s="82">
        <v>521.24</v>
      </c>
      <c r="K29" s="82">
        <v>521.16</v>
      </c>
      <c r="L29" s="82">
        <v>521.16</v>
      </c>
      <c r="M29" s="82">
        <v>521.16</v>
      </c>
      <c r="N29" s="82">
        <v>521.16</v>
      </c>
      <c r="O29" s="82">
        <v>521.16</v>
      </c>
      <c r="P29" s="82">
        <v>521.16</v>
      </c>
      <c r="Q29" s="82">
        <v>521.16</v>
      </c>
      <c r="R29" s="82">
        <v>521.16</v>
      </c>
      <c r="S29" s="23">
        <v>521.16</v>
      </c>
      <c r="T29" s="23">
        <v>521.16</v>
      </c>
      <c r="U29" s="23">
        <v>521.16</v>
      </c>
      <c r="V29" s="7" t="s">
        <v>516</v>
      </c>
      <c r="W29" s="82">
        <f t="shared" si="2"/>
        <v>0</v>
      </c>
      <c r="X29" s="4"/>
      <c r="Y29" s="4"/>
      <c r="Z29" s="4"/>
      <c r="AA29" s="82"/>
      <c r="AB29" s="82"/>
      <c r="AC29" s="82"/>
      <c r="AD29" s="82"/>
      <c r="AE29" s="10" t="s">
        <v>383</v>
      </c>
      <c r="AH29" s="23">
        <f>SUM('2021 Detail'!J28:U28)+SUM('2021 Detail'!AA28)</f>
        <v>6254.0000000000009</v>
      </c>
      <c r="AJ29" s="23">
        <f t="shared" si="3"/>
        <v>0</v>
      </c>
      <c r="AL29" t="str">
        <f t="shared" si="4"/>
        <v>Same</v>
      </c>
      <c r="AQ29" s="23">
        <v>517.6</v>
      </c>
    </row>
    <row r="30" spans="1:43" x14ac:dyDescent="0.2">
      <c r="A30" s="252" t="s">
        <v>38</v>
      </c>
      <c r="B30" s="9" t="s">
        <v>495</v>
      </c>
      <c r="C30" s="9">
        <v>0</v>
      </c>
      <c r="D30" s="9">
        <v>0</v>
      </c>
      <c r="E30" s="9"/>
      <c r="F30" s="9" t="s">
        <v>495</v>
      </c>
      <c r="G30" s="83">
        <v>35383</v>
      </c>
      <c r="H30" s="83">
        <f t="shared" si="0"/>
        <v>32434.420000000006</v>
      </c>
      <c r="I30" s="133">
        <f t="shared" si="1"/>
        <v>0.91669999999999996</v>
      </c>
      <c r="J30" s="82">
        <v>2948.62</v>
      </c>
      <c r="K30" s="82">
        <v>2948.58</v>
      </c>
      <c r="L30" s="82">
        <v>2948.58</v>
      </c>
      <c r="M30" s="82">
        <v>2948.58</v>
      </c>
      <c r="N30" s="82">
        <v>2948.58</v>
      </c>
      <c r="O30" s="82">
        <v>2948.58</v>
      </c>
      <c r="P30" s="82">
        <v>2948.58</v>
      </c>
      <c r="Q30" s="82">
        <v>2948.58</v>
      </c>
      <c r="R30" s="82">
        <v>2948.58</v>
      </c>
      <c r="S30" s="23">
        <v>2948.58</v>
      </c>
      <c r="T30" s="23">
        <v>2948.58</v>
      </c>
      <c r="U30" s="23"/>
      <c r="V30" s="7" t="s">
        <v>517</v>
      </c>
      <c r="W30" s="82">
        <f t="shared" si="2"/>
        <v>2948.5799999999945</v>
      </c>
      <c r="X30" s="4"/>
      <c r="Y30" s="4"/>
      <c r="Z30" s="4"/>
      <c r="AA30" s="82"/>
      <c r="AB30" s="82"/>
      <c r="AC30" s="82"/>
      <c r="AD30" s="82"/>
      <c r="AE30" s="10" t="s">
        <v>383</v>
      </c>
      <c r="AH30" s="23">
        <f>SUM('2021 Detail'!J29:U29)+SUM('2021 Detail'!AA29)</f>
        <v>29874.5</v>
      </c>
      <c r="AJ30" s="23">
        <f t="shared" si="3"/>
        <v>2559.9200000000055</v>
      </c>
      <c r="AL30" t="str">
        <f t="shared" si="4"/>
        <v>Up</v>
      </c>
      <c r="AQ30" s="23">
        <v>0</v>
      </c>
    </row>
    <row r="31" spans="1:43" x14ac:dyDescent="0.2">
      <c r="A31" s="252" t="s">
        <v>39</v>
      </c>
      <c r="B31" s="9">
        <v>0</v>
      </c>
      <c r="C31" s="9">
        <v>0</v>
      </c>
      <c r="D31" s="9">
        <v>0</v>
      </c>
      <c r="E31" s="9"/>
      <c r="F31" s="9">
        <v>0</v>
      </c>
      <c r="G31" s="83">
        <v>9804</v>
      </c>
      <c r="H31" s="83">
        <f t="shared" si="0"/>
        <v>9804</v>
      </c>
      <c r="I31" s="133">
        <f t="shared" si="1"/>
        <v>1</v>
      </c>
      <c r="J31" s="82">
        <v>0</v>
      </c>
      <c r="K31" s="82"/>
      <c r="L31" s="82"/>
      <c r="M31" s="82"/>
      <c r="N31" s="82"/>
      <c r="O31" s="82"/>
      <c r="P31" s="82"/>
      <c r="Q31" s="82"/>
      <c r="R31" s="82"/>
      <c r="S31" s="23"/>
      <c r="T31" s="23">
        <v>9804</v>
      </c>
      <c r="U31" s="23"/>
      <c r="V31" s="7" t="s">
        <v>518</v>
      </c>
      <c r="W31" s="82">
        <f t="shared" si="2"/>
        <v>0</v>
      </c>
      <c r="X31" s="4"/>
      <c r="Y31" s="4"/>
      <c r="Z31" s="4"/>
      <c r="AA31" s="82"/>
      <c r="AB31" s="82"/>
      <c r="AC31" s="82"/>
      <c r="AD31" s="82"/>
      <c r="AE31" s="10" t="s">
        <v>383</v>
      </c>
      <c r="AH31" s="23">
        <f>SUM('2021 Detail'!J30:U30)+SUM('2021 Detail'!AA30)</f>
        <v>6500</v>
      </c>
      <c r="AJ31" s="23">
        <f t="shared" si="3"/>
        <v>3304</v>
      </c>
      <c r="AL31" t="str">
        <f t="shared" si="4"/>
        <v>Up</v>
      </c>
      <c r="AQ31" s="23">
        <v>6500</v>
      </c>
    </row>
    <row r="32" spans="1:43" x14ac:dyDescent="0.2">
      <c r="A32" s="252" t="s">
        <v>40</v>
      </c>
      <c r="B32" s="9" t="s">
        <v>495</v>
      </c>
      <c r="C32" s="9" t="s">
        <v>495</v>
      </c>
      <c r="D32" s="9" t="s">
        <v>495</v>
      </c>
      <c r="E32" s="9"/>
      <c r="F32" s="9">
        <v>0</v>
      </c>
      <c r="G32" s="83">
        <v>17374</v>
      </c>
      <c r="H32" s="83">
        <f t="shared" si="0"/>
        <v>13100</v>
      </c>
      <c r="I32" s="133">
        <f t="shared" si="1"/>
        <v>0.754</v>
      </c>
      <c r="J32" s="82">
        <v>0</v>
      </c>
      <c r="K32" s="82"/>
      <c r="L32" s="82"/>
      <c r="M32" s="82">
        <v>1875</v>
      </c>
      <c r="N32" s="82"/>
      <c r="O32" s="82"/>
      <c r="P32" s="82">
        <v>2800</v>
      </c>
      <c r="Q32" s="82"/>
      <c r="R32" s="82"/>
      <c r="S32" s="23">
        <v>3975</v>
      </c>
      <c r="T32" s="23"/>
      <c r="U32" s="23">
        <v>4450</v>
      </c>
      <c r="V32" s="7" t="s">
        <v>519</v>
      </c>
      <c r="W32" s="82">
        <f t="shared" si="2"/>
        <v>4274</v>
      </c>
      <c r="X32" s="4"/>
      <c r="Y32" s="4"/>
      <c r="Z32" s="4"/>
      <c r="AA32" s="82"/>
      <c r="AB32" s="82"/>
      <c r="AC32" s="82"/>
      <c r="AD32" s="82"/>
      <c r="AE32" s="10" t="s">
        <v>384</v>
      </c>
      <c r="AH32" s="23">
        <f>SUM('2021 Detail'!J31:U31)+SUM('2021 Detail'!AA31)</f>
        <v>15051.000000000002</v>
      </c>
      <c r="AJ32" s="23">
        <f t="shared" si="3"/>
        <v>-1951.0000000000018</v>
      </c>
      <c r="AL32" t="str">
        <f t="shared" si="4"/>
        <v>Down</v>
      </c>
      <c r="AQ32" s="23">
        <v>4561.1000000000004</v>
      </c>
    </row>
    <row r="33" spans="1:43" x14ac:dyDescent="0.2">
      <c r="A33" s="252" t="s">
        <v>41</v>
      </c>
      <c r="B33" s="9">
        <v>0</v>
      </c>
      <c r="C33" s="9" t="s">
        <v>495</v>
      </c>
      <c r="D33" s="9" t="s">
        <v>495</v>
      </c>
      <c r="E33" s="9"/>
      <c r="F33" s="9">
        <v>0</v>
      </c>
      <c r="G33" s="83">
        <v>5560</v>
      </c>
      <c r="H33" s="83">
        <f t="shared" si="0"/>
        <v>4260</v>
      </c>
      <c r="I33" s="133">
        <f t="shared" si="1"/>
        <v>0.76619999999999999</v>
      </c>
      <c r="J33" s="82">
        <v>0</v>
      </c>
      <c r="K33" s="82"/>
      <c r="L33" s="82"/>
      <c r="M33" s="82">
        <v>690</v>
      </c>
      <c r="N33" s="82"/>
      <c r="O33" s="82"/>
      <c r="P33" s="82">
        <v>1190</v>
      </c>
      <c r="Q33" s="82"/>
      <c r="R33" s="82"/>
      <c r="S33" s="23">
        <v>690</v>
      </c>
      <c r="T33" s="23"/>
      <c r="U33" s="23">
        <v>1690</v>
      </c>
      <c r="V33" s="7" t="s">
        <v>520</v>
      </c>
      <c r="W33" s="82">
        <f t="shared" si="2"/>
        <v>1300</v>
      </c>
      <c r="X33" s="4"/>
      <c r="Y33" s="4"/>
      <c r="Z33" s="4"/>
      <c r="AA33" s="82"/>
      <c r="AB33" s="82"/>
      <c r="AC33" s="82"/>
      <c r="AD33" s="82"/>
      <c r="AE33" s="10" t="s">
        <v>384</v>
      </c>
      <c r="AH33" s="23">
        <f>SUM('2021 Detail'!J32:U32)+SUM('2021 Detail'!AA32)</f>
        <v>4127</v>
      </c>
      <c r="AJ33" s="23">
        <f t="shared" si="3"/>
        <v>133</v>
      </c>
      <c r="AL33" t="str">
        <f t="shared" si="4"/>
        <v>Up</v>
      </c>
      <c r="AQ33" s="23">
        <v>1277.02</v>
      </c>
    </row>
    <row r="34" spans="1:43" x14ac:dyDescent="0.2">
      <c r="A34" s="252" t="s">
        <v>42</v>
      </c>
      <c r="B34" s="9">
        <v>0</v>
      </c>
      <c r="C34" s="9">
        <v>0</v>
      </c>
      <c r="D34" s="9" t="s">
        <v>495</v>
      </c>
      <c r="E34" s="9"/>
      <c r="F34" s="9">
        <v>0</v>
      </c>
      <c r="G34" s="83">
        <v>9729</v>
      </c>
      <c r="H34" s="83">
        <f t="shared" si="0"/>
        <v>6101.6</v>
      </c>
      <c r="I34" s="133">
        <f t="shared" si="1"/>
        <v>0.62719999999999998</v>
      </c>
      <c r="J34" s="82">
        <v>0</v>
      </c>
      <c r="K34" s="82"/>
      <c r="L34" s="82"/>
      <c r="M34" s="82">
        <v>2100</v>
      </c>
      <c r="N34" s="82"/>
      <c r="O34" s="82"/>
      <c r="P34" s="82">
        <v>1200</v>
      </c>
      <c r="Q34" s="82"/>
      <c r="R34" s="82"/>
      <c r="S34" s="23">
        <v>1501.6</v>
      </c>
      <c r="T34" s="23"/>
      <c r="U34" s="23">
        <v>1300</v>
      </c>
      <c r="V34" s="7" t="s">
        <v>521</v>
      </c>
      <c r="W34" s="82">
        <f t="shared" si="2"/>
        <v>3627.3999999999996</v>
      </c>
      <c r="X34" s="4"/>
      <c r="Y34" s="4"/>
      <c r="Z34" s="4"/>
      <c r="AA34" s="82"/>
      <c r="AB34" s="82"/>
      <c r="AC34" s="82"/>
      <c r="AD34" s="82"/>
      <c r="AE34" s="10" t="s">
        <v>384</v>
      </c>
      <c r="AH34" s="23">
        <f>SUM('2021 Detail'!J33:U33)+SUM('2021 Detail'!AA33)</f>
        <v>12675</v>
      </c>
      <c r="AJ34" s="23">
        <f t="shared" si="3"/>
        <v>-6573.4</v>
      </c>
      <c r="AL34" t="str">
        <f t="shared" si="4"/>
        <v>Down</v>
      </c>
      <c r="AQ34" s="23">
        <v>3922.39</v>
      </c>
    </row>
    <row r="35" spans="1:43" x14ac:dyDescent="0.2">
      <c r="A35" s="252" t="s">
        <v>43</v>
      </c>
      <c r="B35" s="9" t="s">
        <v>495</v>
      </c>
      <c r="C35" s="9" t="s">
        <v>495</v>
      </c>
      <c r="D35" s="9" t="s">
        <v>495</v>
      </c>
      <c r="E35" s="9"/>
      <c r="F35" s="9" t="s">
        <v>495</v>
      </c>
      <c r="G35" s="83">
        <v>7887</v>
      </c>
      <c r="H35" s="83">
        <f t="shared" si="0"/>
        <v>7887</v>
      </c>
      <c r="I35" s="133">
        <f t="shared" si="1"/>
        <v>1</v>
      </c>
      <c r="J35" s="82">
        <v>657.25</v>
      </c>
      <c r="K35" s="82">
        <v>657.25</v>
      </c>
      <c r="L35" s="82">
        <v>657.25</v>
      </c>
      <c r="M35" s="82">
        <v>657.25</v>
      </c>
      <c r="N35" s="82">
        <v>657.25</v>
      </c>
      <c r="O35" s="82">
        <v>657.25</v>
      </c>
      <c r="P35" s="82">
        <v>657.25</v>
      </c>
      <c r="Q35" s="82">
        <v>657.25</v>
      </c>
      <c r="R35" s="82">
        <v>657.25</v>
      </c>
      <c r="S35" s="23">
        <v>657.25</v>
      </c>
      <c r="T35" s="23">
        <v>657.25</v>
      </c>
      <c r="U35" s="23">
        <v>657.25</v>
      </c>
      <c r="V35" s="7" t="s">
        <v>522</v>
      </c>
      <c r="W35" s="82">
        <f t="shared" si="2"/>
        <v>0</v>
      </c>
      <c r="X35" s="4"/>
      <c r="Y35" s="4"/>
      <c r="Z35" s="4"/>
      <c r="AA35" s="82"/>
      <c r="AB35" s="82"/>
      <c r="AC35" s="82"/>
      <c r="AD35" s="82"/>
      <c r="AE35" s="10" t="s">
        <v>382</v>
      </c>
      <c r="AH35" s="23">
        <f>SUM('2021 Detail'!J34:U34)+SUM('2021 Detail'!AA34)</f>
        <v>7886.9999999999982</v>
      </c>
      <c r="AJ35" s="23">
        <f t="shared" si="3"/>
        <v>0</v>
      </c>
      <c r="AL35" t="str">
        <f t="shared" si="4"/>
        <v>Same</v>
      </c>
      <c r="AQ35" s="23">
        <v>556.65</v>
      </c>
    </row>
    <row r="36" spans="1:43" x14ac:dyDescent="0.2">
      <c r="A36" s="252" t="s">
        <v>44</v>
      </c>
      <c r="B36" s="9" t="s">
        <v>495</v>
      </c>
      <c r="C36" s="9" t="s">
        <v>495</v>
      </c>
      <c r="D36" s="9" t="s">
        <v>495</v>
      </c>
      <c r="E36" s="9"/>
      <c r="F36" s="9">
        <v>0</v>
      </c>
      <c r="G36" s="83">
        <v>9729</v>
      </c>
      <c r="H36" s="83">
        <f t="shared" si="0"/>
        <v>9729</v>
      </c>
      <c r="I36" s="133">
        <f t="shared" si="1"/>
        <v>1</v>
      </c>
      <c r="J36" s="82">
        <v>0</v>
      </c>
      <c r="K36" s="82"/>
      <c r="L36" s="82"/>
      <c r="M36" s="82">
        <v>1500</v>
      </c>
      <c r="N36" s="82"/>
      <c r="O36" s="82"/>
      <c r="P36" s="82">
        <v>3500</v>
      </c>
      <c r="Q36" s="82"/>
      <c r="R36" s="82"/>
      <c r="S36" s="23">
        <v>1500</v>
      </c>
      <c r="T36" s="23"/>
      <c r="U36" s="23">
        <v>3229</v>
      </c>
      <c r="V36" s="7" t="s">
        <v>523</v>
      </c>
      <c r="W36" s="82">
        <f t="shared" si="2"/>
        <v>0</v>
      </c>
      <c r="X36" s="4"/>
      <c r="Y36" s="4"/>
      <c r="Z36" s="4"/>
      <c r="AA36" s="82"/>
      <c r="AB36" s="82"/>
      <c r="AC36" s="82"/>
      <c r="AD36" s="82"/>
      <c r="AE36" s="10" t="s">
        <v>384</v>
      </c>
      <c r="AH36" s="23">
        <f>SUM('2021 Detail'!J35:U35)+SUM('2021 Detail'!AA35)</f>
        <v>9138</v>
      </c>
      <c r="AJ36" s="23">
        <f t="shared" si="3"/>
        <v>591</v>
      </c>
      <c r="AL36" t="str">
        <f t="shared" si="4"/>
        <v>Up</v>
      </c>
      <c r="AQ36" s="23">
        <v>2827.64</v>
      </c>
    </row>
    <row r="37" spans="1:43" x14ac:dyDescent="0.2">
      <c r="A37" s="252" t="s">
        <v>45</v>
      </c>
      <c r="B37" s="9" t="s">
        <v>495</v>
      </c>
      <c r="C37" s="9" t="s">
        <v>495</v>
      </c>
      <c r="D37" s="9" t="s">
        <v>495</v>
      </c>
      <c r="E37" s="9"/>
      <c r="F37" s="9" t="s">
        <v>495</v>
      </c>
      <c r="G37" s="83">
        <v>19789</v>
      </c>
      <c r="H37" s="83">
        <f t="shared" si="0"/>
        <v>6000</v>
      </c>
      <c r="I37" s="133">
        <f t="shared" si="1"/>
        <v>0.30320000000000003</v>
      </c>
      <c r="J37" s="82">
        <v>500</v>
      </c>
      <c r="K37" s="82">
        <v>500</v>
      </c>
      <c r="L37" s="82">
        <v>500</v>
      </c>
      <c r="M37" s="82">
        <v>500</v>
      </c>
      <c r="N37" s="82">
        <v>500</v>
      </c>
      <c r="O37" s="82">
        <v>500</v>
      </c>
      <c r="P37" s="82">
        <v>500</v>
      </c>
      <c r="Q37" s="82">
        <v>500</v>
      </c>
      <c r="R37" s="82">
        <v>500</v>
      </c>
      <c r="S37" s="23">
        <v>500</v>
      </c>
      <c r="T37" s="23">
        <v>500</v>
      </c>
      <c r="U37" s="23">
        <v>500</v>
      </c>
      <c r="V37" s="7" t="s">
        <v>524</v>
      </c>
      <c r="W37" s="82">
        <f t="shared" si="2"/>
        <v>13789</v>
      </c>
      <c r="X37" s="4"/>
      <c r="Y37" s="4"/>
      <c r="Z37" s="4"/>
      <c r="AA37" s="82"/>
      <c r="AB37" s="82"/>
      <c r="AC37" s="82"/>
      <c r="AD37" s="82"/>
      <c r="AE37" s="7" t="s">
        <v>381</v>
      </c>
      <c r="AH37" s="23">
        <f>SUM('2021 Detail'!J36:U36)+SUM('2021 Detail'!AA36)</f>
        <v>6000</v>
      </c>
      <c r="AJ37" s="23">
        <f t="shared" si="3"/>
        <v>0</v>
      </c>
      <c r="AL37" t="str">
        <f t="shared" si="4"/>
        <v>Same</v>
      </c>
      <c r="AQ37" s="23">
        <v>500</v>
      </c>
    </row>
    <row r="38" spans="1:43" x14ac:dyDescent="0.2">
      <c r="A38" s="252" t="s">
        <v>46</v>
      </c>
      <c r="B38" s="9" t="s">
        <v>495</v>
      </c>
      <c r="C38" s="9" t="s">
        <v>495</v>
      </c>
      <c r="D38" s="9">
        <v>0</v>
      </c>
      <c r="E38" s="9"/>
      <c r="F38" s="9" t="s">
        <v>495</v>
      </c>
      <c r="G38" s="83">
        <v>13547</v>
      </c>
      <c r="H38" s="83">
        <f>SUM(J38:U38)+SUM(AA38:AC38)</f>
        <v>13547</v>
      </c>
      <c r="I38" s="133">
        <f t="shared" si="1"/>
        <v>1</v>
      </c>
      <c r="J38" s="82">
        <v>1128.99</v>
      </c>
      <c r="K38" s="82">
        <v>1128.9100000000001</v>
      </c>
      <c r="L38" s="82">
        <v>1128.9100000000001</v>
      </c>
      <c r="M38" s="82">
        <v>1128.9100000000001</v>
      </c>
      <c r="N38" s="82">
        <v>1128.9100000000001</v>
      </c>
      <c r="O38" s="82">
        <v>1128.9100000000001</v>
      </c>
      <c r="P38" s="82">
        <v>1128.9100000000001</v>
      </c>
      <c r="Q38" s="82">
        <v>1128.9100000000001</v>
      </c>
      <c r="R38" s="82">
        <v>1128.9100000000001</v>
      </c>
      <c r="S38" s="23">
        <v>1128.9100000000001</v>
      </c>
      <c r="T38" s="23">
        <v>1128.9100000000001</v>
      </c>
      <c r="U38" s="23">
        <v>1128.9100000000001</v>
      </c>
      <c r="V38" s="7" t="s">
        <v>525</v>
      </c>
      <c r="W38" s="82">
        <f t="shared" si="2"/>
        <v>0</v>
      </c>
      <c r="X38" s="4"/>
      <c r="Y38" s="4"/>
      <c r="Z38" s="4"/>
      <c r="AA38" s="82"/>
      <c r="AB38" s="82"/>
      <c r="AC38" s="82"/>
      <c r="AD38" s="82"/>
      <c r="AE38" s="7" t="s">
        <v>381</v>
      </c>
      <c r="AH38" s="23">
        <f>SUM('2021 Detail'!J37:U37)+SUM('2021 Detail'!AA37)</f>
        <v>13547</v>
      </c>
      <c r="AJ38" s="23">
        <f t="shared" si="3"/>
        <v>0</v>
      </c>
      <c r="AL38" t="str">
        <f t="shared" si="4"/>
        <v>Same</v>
      </c>
      <c r="AQ38" s="23">
        <v>1128.9100000000001</v>
      </c>
    </row>
    <row r="39" spans="1:43" x14ac:dyDescent="0.2">
      <c r="B39" s="9"/>
      <c r="C39" s="9"/>
      <c r="E39" s="9"/>
      <c r="F39" s="9"/>
      <c r="G39" s="205"/>
      <c r="H39" s="197"/>
      <c r="I39" s="133"/>
      <c r="W39" s="82"/>
      <c r="X39" s="4"/>
      <c r="Y39" s="4"/>
      <c r="Z39" s="4"/>
      <c r="AA39" s="82"/>
      <c r="AB39" s="82"/>
      <c r="AC39" s="82"/>
      <c r="AD39" s="82"/>
      <c r="AJ39" s="23"/>
    </row>
    <row r="40" spans="1:43" x14ac:dyDescent="0.2">
      <c r="A40" s="226" t="s">
        <v>1142</v>
      </c>
      <c r="G40" s="83">
        <f>SUM(G8:G39)</f>
        <v>481880</v>
      </c>
      <c r="H40" s="83">
        <f>SUM(H8:H39)</f>
        <v>394128.93999999994</v>
      </c>
      <c r="I40" s="133">
        <f t="shared" si="1"/>
        <v>0.81789999999999996</v>
      </c>
      <c r="J40" s="83">
        <f>SUM(J8:J39)</f>
        <v>11899.3</v>
      </c>
      <c r="K40" s="83">
        <f t="shared" ref="K40:W40" si="5">SUM(K8:K39)</f>
        <v>19562.02</v>
      </c>
      <c r="L40" s="83">
        <f t="shared" si="5"/>
        <v>24271.02</v>
      </c>
      <c r="M40" s="83">
        <f t="shared" si="5"/>
        <v>24175.02</v>
      </c>
      <c r="N40" s="83">
        <f t="shared" si="5"/>
        <v>14781.019999999999</v>
      </c>
      <c r="O40" s="83">
        <f t="shared" si="5"/>
        <v>40571.020000000011</v>
      </c>
      <c r="P40" s="83">
        <f t="shared" si="5"/>
        <v>34065.070000000007</v>
      </c>
      <c r="Q40" s="83">
        <f t="shared" si="5"/>
        <v>23371.02</v>
      </c>
      <c r="R40" s="83">
        <f t="shared" si="5"/>
        <v>34687.020000000004</v>
      </c>
      <c r="S40" s="4">
        <f t="shared" si="5"/>
        <v>38511.83</v>
      </c>
      <c r="T40" s="4">
        <f t="shared" si="5"/>
        <v>35025.020000000004</v>
      </c>
      <c r="U40" s="4">
        <f t="shared" si="5"/>
        <v>58251.580000000009</v>
      </c>
      <c r="V40" s="77"/>
      <c r="W40" s="82">
        <f t="shared" si="5"/>
        <v>87751.06</v>
      </c>
      <c r="X40" s="4"/>
      <c r="Y40" s="4"/>
      <c r="Z40" s="4"/>
      <c r="AA40" s="83">
        <f t="shared" ref="AA40:AC40" si="6">SUM(AA8:AA39)</f>
        <v>3958</v>
      </c>
      <c r="AB40" s="83">
        <f t="shared" si="6"/>
        <v>31000</v>
      </c>
      <c r="AC40" s="83">
        <f t="shared" si="6"/>
        <v>0</v>
      </c>
      <c r="AD40" s="4"/>
      <c r="AH40" s="23">
        <f>SUM(AH8:AH39)</f>
        <v>359442.07999999996</v>
      </c>
      <c r="AJ40" s="23">
        <f t="shared" si="3"/>
        <v>34686.859999999986</v>
      </c>
      <c r="AM40" s="11">
        <f>SUM(J40:R40)+SUM(S41:U41)+SUM('2020 detail'!AA39:AC39)</f>
        <v>375611.94999999995</v>
      </c>
      <c r="AN40" s="24">
        <f>ROUND((AM40/G40),4)</f>
        <v>0.77949999999999997</v>
      </c>
      <c r="AO40" s="24">
        <f>ROUND((SUM(J41:U41)/G41),4)</f>
        <v>0.74529999999999996</v>
      </c>
      <c r="AQ40" s="23">
        <f>SUM(AQ8:AQ39)</f>
        <v>74670.78</v>
      </c>
    </row>
    <row r="41" spans="1:43" x14ac:dyDescent="0.2">
      <c r="A41" s="253" t="s">
        <v>1056</v>
      </c>
      <c r="G41" s="206">
        <f>'2021 Detail'!G39</f>
        <v>481879</v>
      </c>
      <c r="H41" s="206">
        <f>SUM(J41:U41)+SUM(AA41:AC41)</f>
        <v>359442.08000000007</v>
      </c>
      <c r="I41" s="207">
        <f t="shared" si="1"/>
        <v>0.74590000000000001</v>
      </c>
      <c r="J41" s="206">
        <f>'2021 Detail'!J39</f>
        <v>16499.91</v>
      </c>
      <c r="K41" s="206">
        <f>'2021 Detail'!K39</f>
        <v>19378.28</v>
      </c>
      <c r="L41" s="206">
        <f>'2021 Detail'!L39</f>
        <v>21483.559999999998</v>
      </c>
      <c r="M41" s="206">
        <f>'2021 Detail'!M39</f>
        <v>30933.540000000005</v>
      </c>
      <c r="N41" s="206">
        <f>'2021 Detail'!N39</f>
        <v>27417.29</v>
      </c>
      <c r="O41" s="206">
        <f>'2021 Detail'!O39</f>
        <v>42207.29</v>
      </c>
      <c r="P41" s="206">
        <f>'2021 Detail'!P39</f>
        <v>21733.54</v>
      </c>
      <c r="Q41" s="206">
        <f>'2021 Detail'!Q39</f>
        <v>17233.54</v>
      </c>
      <c r="R41" s="206">
        <f>'2021 Detail'!R39</f>
        <v>37544.540000000008</v>
      </c>
      <c r="S41" s="206">
        <f>'2021 Detail'!S39</f>
        <v>23797.530000000002</v>
      </c>
      <c r="T41" s="206">
        <f>'2021 Detail'!T39</f>
        <v>26230.280000000002</v>
      </c>
      <c r="U41" s="206">
        <f>'2021 Detail'!U39</f>
        <v>74670.78</v>
      </c>
      <c r="V41" s="206"/>
      <c r="W41" s="206"/>
      <c r="X41" s="206"/>
      <c r="Y41" s="4"/>
      <c r="Z41" s="4"/>
      <c r="AA41" s="206">
        <f>'2021 Detail'!AA39</f>
        <v>312</v>
      </c>
      <c r="AB41" s="206">
        <f>'2021 Detail'!AB39</f>
        <v>0</v>
      </c>
      <c r="AC41" s="206">
        <f>'2021 Detail'!AC39</f>
        <v>0</v>
      </c>
      <c r="AJ41" s="23"/>
    </row>
    <row r="42" spans="1:43" x14ac:dyDescent="0.2">
      <c r="G42" s="205"/>
      <c r="H42" s="197"/>
      <c r="Y42" s="4"/>
      <c r="Z42" s="4"/>
      <c r="AJ42" s="23"/>
    </row>
    <row r="43" spans="1:43" x14ac:dyDescent="0.2">
      <c r="A43" s="226" t="str">
        <f t="shared" ref="A43:U43" si="7">A$510</f>
        <v>Diocesan Total 2022</v>
      </c>
      <c r="B43" s="226">
        <f t="shared" si="7"/>
        <v>0</v>
      </c>
      <c r="C43" s="226">
        <f t="shared" si="7"/>
        <v>0</v>
      </c>
      <c r="D43" s="258">
        <f t="shared" si="7"/>
        <v>0</v>
      </c>
      <c r="E43" s="226">
        <f t="shared" si="7"/>
        <v>0</v>
      </c>
      <c r="F43" s="226">
        <f t="shared" si="7"/>
        <v>0</v>
      </c>
      <c r="G43" s="83">
        <f t="shared" si="7"/>
        <v>8116012</v>
      </c>
      <c r="H43" s="83">
        <f t="shared" si="7"/>
        <v>6559332.3399999999</v>
      </c>
      <c r="I43" s="133">
        <f t="shared" si="7"/>
        <v>0.80820000000000003</v>
      </c>
      <c r="J43" s="83">
        <f t="shared" si="7"/>
        <v>378351.23</v>
      </c>
      <c r="K43" s="83">
        <f t="shared" si="7"/>
        <v>449442.02</v>
      </c>
      <c r="L43" s="83">
        <f t="shared" si="7"/>
        <v>517036.34</v>
      </c>
      <c r="M43" s="83">
        <f t="shared" si="7"/>
        <v>434875.54000000004</v>
      </c>
      <c r="N43" s="83">
        <f t="shared" si="7"/>
        <v>497786.23</v>
      </c>
      <c r="O43" s="83">
        <f t="shared" si="7"/>
        <v>599586.94000000006</v>
      </c>
      <c r="P43" s="83">
        <f t="shared" si="7"/>
        <v>498701.35</v>
      </c>
      <c r="Q43" s="83">
        <f t="shared" si="7"/>
        <v>538018.41999999993</v>
      </c>
      <c r="R43" s="83">
        <f t="shared" si="7"/>
        <v>551902.79</v>
      </c>
      <c r="S43" s="4">
        <f t="shared" si="7"/>
        <v>564217.18000000005</v>
      </c>
      <c r="T43" s="4">
        <f t="shared" si="7"/>
        <v>646111.05000000005</v>
      </c>
      <c r="U43" s="4">
        <f t="shared" si="7"/>
        <v>737258.44</v>
      </c>
      <c r="V43" s="77"/>
      <c r="W43" s="82"/>
      <c r="X43" s="4"/>
      <c r="Y43" s="4"/>
      <c r="Z43" s="4"/>
      <c r="AA43" s="83"/>
      <c r="AB43" s="83"/>
      <c r="AC43" s="83"/>
      <c r="AD43" s="4"/>
      <c r="AH43" s="23">
        <f>AH$510</f>
        <v>6554125.29</v>
      </c>
      <c r="AJ43" s="23">
        <f>AJ$510</f>
        <v>5207.0499999998137</v>
      </c>
    </row>
    <row r="44" spans="1:43" x14ac:dyDescent="0.2">
      <c r="A44" s="253" t="str">
        <f t="shared" ref="A44:P44" si="8">A$511</f>
        <v>Diocesan Total 2021</v>
      </c>
      <c r="B44" s="253">
        <f t="shared" si="8"/>
        <v>0</v>
      </c>
      <c r="C44" s="253">
        <f t="shared" si="8"/>
        <v>0</v>
      </c>
      <c r="D44" s="259">
        <f t="shared" si="8"/>
        <v>0</v>
      </c>
      <c r="E44" s="253">
        <f t="shared" si="8"/>
        <v>0</v>
      </c>
      <c r="F44" s="253">
        <f t="shared" si="8"/>
        <v>0</v>
      </c>
      <c r="G44" s="206">
        <f t="shared" si="8"/>
        <v>8132853</v>
      </c>
      <c r="H44" s="206">
        <f t="shared" si="8"/>
        <v>6587993.7700000005</v>
      </c>
      <c r="I44" s="207">
        <f t="shared" si="8"/>
        <v>0.81</v>
      </c>
      <c r="J44" s="206">
        <f t="shared" si="8"/>
        <v>340336.86</v>
      </c>
      <c r="K44" s="206">
        <f t="shared" si="8"/>
        <v>407387.73</v>
      </c>
      <c r="L44" s="206">
        <f t="shared" si="8"/>
        <v>497955.59</v>
      </c>
      <c r="M44" s="206">
        <f t="shared" si="8"/>
        <v>513800.89999999997</v>
      </c>
      <c r="N44" s="206">
        <f t="shared" si="8"/>
        <v>483760.16000000003</v>
      </c>
      <c r="O44" s="206">
        <f t="shared" si="8"/>
        <v>527451.71000000008</v>
      </c>
      <c r="P44" s="206">
        <f t="shared" si="8"/>
        <v>582882.6100000001</v>
      </c>
      <c r="Q44" s="206">
        <f t="shared" ref="Q44:U44" si="9">Q511</f>
        <v>489302.35</v>
      </c>
      <c r="R44" s="206">
        <f t="shared" si="9"/>
        <v>548459.72</v>
      </c>
      <c r="S44" s="206">
        <f t="shared" si="9"/>
        <v>527708.16999999993</v>
      </c>
      <c r="T44" s="206">
        <f t="shared" si="9"/>
        <v>616975.80999999994</v>
      </c>
      <c r="U44" s="206">
        <f t="shared" si="9"/>
        <v>907302.59</v>
      </c>
      <c r="V44" s="206"/>
      <c r="W44" s="206"/>
      <c r="X44" s="206"/>
      <c r="Y44" s="4"/>
      <c r="Z44" s="4"/>
      <c r="AA44" s="206"/>
      <c r="AB44" s="206"/>
      <c r="AC44" s="206"/>
      <c r="AJ44" s="23"/>
    </row>
    <row r="45" spans="1:43" ht="15.75" x14ac:dyDescent="0.25">
      <c r="G45" s="196" t="s">
        <v>7</v>
      </c>
      <c r="H45" s="197"/>
      <c r="Y45" s="4"/>
      <c r="Z45" s="4"/>
      <c r="AH45" s="171" t="s">
        <v>1136</v>
      </c>
      <c r="AI45" s="172"/>
      <c r="AJ45" s="171" t="s">
        <v>1064</v>
      </c>
    </row>
    <row r="46" spans="1:43" x14ac:dyDescent="0.2">
      <c r="G46" s="205"/>
      <c r="H46" s="197"/>
      <c r="Y46" s="4"/>
      <c r="Z46" s="4"/>
      <c r="AH46" s="171" t="s">
        <v>1137</v>
      </c>
      <c r="AI46" s="172"/>
      <c r="AJ46" s="171" t="s">
        <v>1138</v>
      </c>
    </row>
    <row r="47" spans="1:43" ht="16.5" x14ac:dyDescent="0.25">
      <c r="A47" s="250"/>
      <c r="B47" s="8"/>
      <c r="C47" s="8"/>
      <c r="E47" s="8"/>
      <c r="F47" s="8"/>
      <c r="G47" s="208" t="str">
        <f>$G$3</f>
        <v>2022 PARISH SHARE INFORMATION AS AT 31 DECEMBER 2022</v>
      </c>
      <c r="H47" s="209"/>
      <c r="W47" s="194"/>
      <c r="X47"/>
      <c r="Y47" s="4"/>
      <c r="Z47" s="4"/>
      <c r="AA47"/>
      <c r="AB47"/>
      <c r="AC47"/>
      <c r="AH47" s="172"/>
      <c r="AI47" s="172"/>
      <c r="AJ47" s="171" t="s">
        <v>1139</v>
      </c>
    </row>
    <row r="48" spans="1:43" x14ac:dyDescent="0.2">
      <c r="A48" s="250"/>
      <c r="G48" s="205"/>
      <c r="H48" s="197"/>
      <c r="W48" s="194"/>
      <c r="X48"/>
      <c r="Y48" s="4"/>
      <c r="Z48" s="4"/>
      <c r="AA48"/>
      <c r="AB48"/>
      <c r="AC48"/>
    </row>
    <row r="49" spans="1:45" ht="16.5" x14ac:dyDescent="0.25">
      <c r="A49" s="251" t="s">
        <v>1</v>
      </c>
      <c r="B49" s="151" t="str">
        <f>$B$5</f>
        <v>RM</v>
      </c>
      <c r="C49" s="151" t="str">
        <f>$C$5</f>
        <v>RF</v>
      </c>
      <c r="D49" s="151" t="str">
        <f>$D$5</f>
        <v>Accts</v>
      </c>
      <c r="E49" s="151"/>
      <c r="F49" s="151" t="str">
        <f>$F$5</f>
        <v>Share DD</v>
      </c>
      <c r="G49" s="210" t="str">
        <f>$G$5</f>
        <v xml:space="preserve">2022 Share </v>
      </c>
      <c r="H49" s="211" t="str">
        <f>$H$5</f>
        <v xml:space="preserve">2022 Paid </v>
      </c>
      <c r="I49" s="211" t="str">
        <f>$I$5</f>
        <v xml:space="preserve">% Paid </v>
      </c>
      <c r="J49" s="212">
        <f>$J$5</f>
        <v>44592</v>
      </c>
      <c r="K49" s="212">
        <f>$K$5</f>
        <v>44620</v>
      </c>
      <c r="L49" s="212">
        <f>$L$5</f>
        <v>44651</v>
      </c>
      <c r="M49" s="212">
        <f>$M$5</f>
        <v>44681</v>
      </c>
      <c r="N49" s="212">
        <f>$N$5</f>
        <v>44712</v>
      </c>
      <c r="O49" s="212">
        <f>$O$5</f>
        <v>44742</v>
      </c>
      <c r="P49" s="212">
        <f>$P$5</f>
        <v>44773</v>
      </c>
      <c r="Q49" s="212">
        <f>$Q$5</f>
        <v>44804</v>
      </c>
      <c r="R49" s="212">
        <f>$R$5</f>
        <v>44834</v>
      </c>
      <c r="S49" s="155">
        <f>$S$5</f>
        <v>44865</v>
      </c>
      <c r="T49" s="155">
        <f>$T$5</f>
        <v>44895</v>
      </c>
      <c r="U49" s="155">
        <f>$U$5</f>
        <v>44926</v>
      </c>
      <c r="V49" s="78"/>
      <c r="W49" s="195" t="str">
        <f>$W$5</f>
        <v xml:space="preserve">Outstanding </v>
      </c>
      <c r="X49" s="2"/>
      <c r="Y49" s="4"/>
      <c r="Z49" s="4"/>
      <c r="AA49" s="2">
        <f>$AA$5</f>
        <v>44957</v>
      </c>
      <c r="AB49" s="2">
        <f>$AB$5</f>
        <v>44985</v>
      </c>
      <c r="AC49" s="2">
        <f>$AC$5</f>
        <v>45016</v>
      </c>
      <c r="AE49" s="152" t="str">
        <f>$AE$5</f>
        <v>Benefice</v>
      </c>
      <c r="AH49" s="16" t="s">
        <v>1141</v>
      </c>
      <c r="AJ49" s="170" t="s">
        <v>1140</v>
      </c>
      <c r="AQ49" s="222">
        <f>AQ5</f>
        <v>44588</v>
      </c>
    </row>
    <row r="50" spans="1:45" ht="16.5" x14ac:dyDescent="0.25">
      <c r="A50" s="250"/>
      <c r="G50" s="201" t="s">
        <v>1040</v>
      </c>
      <c r="H50" s="202" t="s">
        <v>1040</v>
      </c>
      <c r="I50" s="203"/>
      <c r="J50" s="202" t="s">
        <v>1040</v>
      </c>
      <c r="K50" s="202" t="s">
        <v>1040</v>
      </c>
      <c r="L50" s="202" t="s">
        <v>1040</v>
      </c>
      <c r="M50" s="202" t="s">
        <v>1040</v>
      </c>
      <c r="N50" s="202" t="s">
        <v>1040</v>
      </c>
      <c r="O50" s="202" t="s">
        <v>1040</v>
      </c>
      <c r="P50" s="202" t="s">
        <v>1040</v>
      </c>
      <c r="Q50" s="202" t="s">
        <v>1040</v>
      </c>
      <c r="R50" s="202" t="s">
        <v>1040</v>
      </c>
      <c r="S50" s="147" t="s">
        <v>1040</v>
      </c>
      <c r="T50" s="147" t="s">
        <v>1040</v>
      </c>
      <c r="U50" s="147" t="s">
        <v>1040</v>
      </c>
      <c r="W50" s="194"/>
      <c r="X50"/>
      <c r="Y50" s="4"/>
      <c r="Z50" s="4"/>
      <c r="AA50"/>
      <c r="AB50"/>
      <c r="AC50"/>
      <c r="AJ50" s="23"/>
    </row>
    <row r="51" spans="1:45" x14ac:dyDescent="0.2">
      <c r="G51" s="205"/>
      <c r="H51" s="197"/>
      <c r="Y51" s="4"/>
      <c r="Z51" s="4"/>
      <c r="AJ51" s="23"/>
    </row>
    <row r="52" spans="1:45" x14ac:dyDescent="0.2">
      <c r="A52" s="226" t="s">
        <v>47</v>
      </c>
      <c r="B52" s="9" t="s">
        <v>495</v>
      </c>
      <c r="C52" s="9" t="s">
        <v>495</v>
      </c>
      <c r="D52" s="9">
        <v>0</v>
      </c>
      <c r="E52" s="9"/>
      <c r="F52" s="9" t="s">
        <v>495</v>
      </c>
      <c r="G52" s="83">
        <v>26841</v>
      </c>
      <c r="H52" s="83">
        <f>SUM(J52:U52)+SUM(AA52:AC52)</f>
        <v>26841</v>
      </c>
      <c r="I52" s="133">
        <f t="shared" ref="I52:I82" si="10">ROUND((H52/G52),4)</f>
        <v>1</v>
      </c>
      <c r="J52" s="82">
        <v>2684</v>
      </c>
      <c r="K52" s="82">
        <v>2684</v>
      </c>
      <c r="L52" s="82">
        <v>2684</v>
      </c>
      <c r="M52" s="82">
        <v>2684</v>
      </c>
      <c r="N52" s="82">
        <v>2684</v>
      </c>
      <c r="O52" s="82">
        <v>2684</v>
      </c>
      <c r="P52" s="82">
        <v>2684</v>
      </c>
      <c r="Q52" s="82">
        <v>2684</v>
      </c>
      <c r="R52" s="82">
        <v>2684</v>
      </c>
      <c r="S52" s="23">
        <v>2685</v>
      </c>
      <c r="T52" s="23"/>
      <c r="U52" s="23"/>
      <c r="V52" s="79" t="s">
        <v>526</v>
      </c>
      <c r="W52" s="82">
        <f t="shared" ref="W52:W82" si="11">G52-H52</f>
        <v>0</v>
      </c>
      <c r="X52" s="4"/>
      <c r="Y52" s="4"/>
      <c r="Z52" s="4"/>
      <c r="AA52" s="82"/>
      <c r="AB52" s="82"/>
      <c r="AC52" s="82"/>
      <c r="AD52" s="23"/>
      <c r="AE52" s="7" t="s">
        <v>386</v>
      </c>
      <c r="AH52" s="23">
        <f>SUM('2021 Detail'!J49:U49)+SUM('2021 Detail'!AA49)</f>
        <v>26841</v>
      </c>
      <c r="AJ52" s="23">
        <f t="shared" ref="AJ52:AJ84" si="12">H52-AH52</f>
        <v>0</v>
      </c>
      <c r="AL52" t="str">
        <f>IF(AJ52&lt;0,"Down",IF(AJ52&gt;0,"Up","Same"))</f>
        <v>Same</v>
      </c>
    </row>
    <row r="53" spans="1:45" x14ac:dyDescent="0.2">
      <c r="A53" s="226" t="s">
        <v>48</v>
      </c>
      <c r="B53" s="9" t="s">
        <v>495</v>
      </c>
      <c r="C53" s="9" t="s">
        <v>495</v>
      </c>
      <c r="D53" s="9">
        <v>0</v>
      </c>
      <c r="E53" s="9"/>
      <c r="F53" s="9" t="s">
        <v>495</v>
      </c>
      <c r="G53" s="83">
        <v>8146</v>
      </c>
      <c r="H53" s="83">
        <f t="shared" ref="H53:H82" si="13">SUM(J53:U53)+SUM(AA53:AC53)</f>
        <v>8146</v>
      </c>
      <c r="I53" s="133">
        <f t="shared" si="10"/>
        <v>1</v>
      </c>
      <c r="J53" s="82">
        <v>200</v>
      </c>
      <c r="K53" s="82">
        <v>600</v>
      </c>
      <c r="L53" s="82">
        <v>600</v>
      </c>
      <c r="M53" s="82">
        <v>600</v>
      </c>
      <c r="N53" s="82">
        <v>600</v>
      </c>
      <c r="O53" s="82">
        <v>600</v>
      </c>
      <c r="P53" s="82">
        <v>600</v>
      </c>
      <c r="Q53" s="82">
        <v>600</v>
      </c>
      <c r="R53" s="82">
        <v>600</v>
      </c>
      <c r="S53" s="23">
        <v>600</v>
      </c>
      <c r="T53" s="23">
        <v>1946</v>
      </c>
      <c r="U53" s="23">
        <v>600</v>
      </c>
      <c r="V53" s="79" t="s">
        <v>527</v>
      </c>
      <c r="W53" s="82">
        <f t="shared" si="11"/>
        <v>0</v>
      </c>
      <c r="X53" s="79"/>
      <c r="Y53" s="4"/>
      <c r="Z53" s="4"/>
      <c r="AA53" s="82"/>
      <c r="AB53" s="82"/>
      <c r="AC53" s="82"/>
      <c r="AD53" s="23"/>
      <c r="AE53" s="7" t="s">
        <v>386</v>
      </c>
      <c r="AH53" s="23">
        <f>SUM('2021 Detail'!J50:U50)+SUM('2021 Detail'!AA50)</f>
        <v>4000</v>
      </c>
      <c r="AJ53" s="23">
        <f t="shared" si="12"/>
        <v>4146</v>
      </c>
      <c r="AL53" t="str">
        <f t="shared" ref="AL53:AL82" si="14">IF(AJ53&lt;0,"Down",IF(AJ53&gt;0,"Up","Same"))</f>
        <v>Up</v>
      </c>
      <c r="AQ53" s="23">
        <v>200</v>
      </c>
    </row>
    <row r="54" spans="1:45" x14ac:dyDescent="0.2">
      <c r="A54" s="226" t="s">
        <v>49</v>
      </c>
      <c r="B54" s="9" t="s">
        <v>495</v>
      </c>
      <c r="C54" s="9" t="s">
        <v>495</v>
      </c>
      <c r="D54" s="9">
        <v>0</v>
      </c>
      <c r="E54" s="9"/>
      <c r="F54" s="9">
        <v>0</v>
      </c>
      <c r="G54" s="83">
        <v>34227</v>
      </c>
      <c r="H54" s="83">
        <f t="shared" si="13"/>
        <v>34227</v>
      </c>
      <c r="I54" s="133">
        <f t="shared" si="10"/>
        <v>1</v>
      </c>
      <c r="J54" s="82">
        <v>1000</v>
      </c>
      <c r="K54" s="82">
        <v>1000</v>
      </c>
      <c r="L54" s="82">
        <v>1000</v>
      </c>
      <c r="M54" s="82">
        <v>1000</v>
      </c>
      <c r="N54" s="82">
        <v>1000</v>
      </c>
      <c r="O54" s="82">
        <v>1000</v>
      </c>
      <c r="P54" s="82">
        <v>4000</v>
      </c>
      <c r="Q54" s="82">
        <v>3000</v>
      </c>
      <c r="R54" s="82">
        <v>1000</v>
      </c>
      <c r="S54" s="23">
        <v>14000</v>
      </c>
      <c r="T54" s="23">
        <v>1000</v>
      </c>
      <c r="U54" s="23">
        <v>5227</v>
      </c>
      <c r="V54" s="79" t="s">
        <v>528</v>
      </c>
      <c r="W54" s="82">
        <f t="shared" si="11"/>
        <v>0</v>
      </c>
      <c r="X54" s="79"/>
      <c r="Y54" s="4"/>
      <c r="Z54" s="4"/>
      <c r="AA54" s="82"/>
      <c r="AB54" s="82"/>
      <c r="AC54" s="82"/>
      <c r="AD54" s="23"/>
      <c r="AE54" s="7" t="s">
        <v>387</v>
      </c>
      <c r="AH54" s="23">
        <f>SUM('2021 Detail'!J51:U51)+SUM('2021 Detail'!AA51)</f>
        <v>25000</v>
      </c>
      <c r="AJ54" s="23">
        <f t="shared" si="12"/>
        <v>9227</v>
      </c>
      <c r="AL54" t="str">
        <f t="shared" si="14"/>
        <v>Up</v>
      </c>
      <c r="AQ54" s="23">
        <v>3500</v>
      </c>
      <c r="AS54" t="s">
        <v>1113</v>
      </c>
    </row>
    <row r="55" spans="1:45" x14ac:dyDescent="0.2">
      <c r="A55" s="226" t="s">
        <v>50</v>
      </c>
      <c r="B55" s="9" t="s">
        <v>495</v>
      </c>
      <c r="C55" s="9" t="s">
        <v>495</v>
      </c>
      <c r="D55" s="9" t="s">
        <v>495</v>
      </c>
      <c r="E55" s="9"/>
      <c r="F55" s="9" t="s">
        <v>495</v>
      </c>
      <c r="G55" s="83">
        <v>4857</v>
      </c>
      <c r="H55" s="83">
        <f t="shared" si="13"/>
        <v>4857</v>
      </c>
      <c r="I55" s="133">
        <f t="shared" si="10"/>
        <v>1</v>
      </c>
      <c r="J55" s="82">
        <v>404.75</v>
      </c>
      <c r="K55" s="82">
        <v>404.75</v>
      </c>
      <c r="L55" s="82">
        <v>404.75</v>
      </c>
      <c r="M55" s="82">
        <v>404.75</v>
      </c>
      <c r="N55" s="82">
        <v>404.75</v>
      </c>
      <c r="O55" s="82">
        <v>404.75</v>
      </c>
      <c r="P55" s="82">
        <v>404.75</v>
      </c>
      <c r="Q55" s="82">
        <v>404.75</v>
      </c>
      <c r="R55" s="82">
        <v>404.75</v>
      </c>
      <c r="S55" s="23">
        <v>404.75</v>
      </c>
      <c r="T55" s="23">
        <v>404.75</v>
      </c>
      <c r="U55" s="23">
        <v>404.75</v>
      </c>
      <c r="V55" s="79" t="s">
        <v>529</v>
      </c>
      <c r="W55" s="82">
        <f t="shared" si="11"/>
        <v>0</v>
      </c>
      <c r="X55" s="79"/>
      <c r="Y55" s="4"/>
      <c r="Z55" s="4"/>
      <c r="AA55" s="82"/>
      <c r="AB55" s="82"/>
      <c r="AC55" s="82"/>
      <c r="AD55" s="23"/>
      <c r="AE55" s="7" t="s">
        <v>389</v>
      </c>
      <c r="AH55" s="23">
        <f>SUM('2021 Detail'!J52:U52)+SUM('2021 Detail'!AA52)</f>
        <v>4857</v>
      </c>
      <c r="AJ55" s="23">
        <f t="shared" si="12"/>
        <v>0</v>
      </c>
      <c r="AL55" t="str">
        <f t="shared" si="14"/>
        <v>Same</v>
      </c>
      <c r="AQ55" s="23">
        <v>404.75</v>
      </c>
    </row>
    <row r="56" spans="1:45" x14ac:dyDescent="0.2">
      <c r="A56" s="226" t="s">
        <v>51</v>
      </c>
      <c r="B56" s="9" t="s">
        <v>495</v>
      </c>
      <c r="C56" s="9" t="s">
        <v>495</v>
      </c>
      <c r="D56" s="9" t="s">
        <v>495</v>
      </c>
      <c r="E56" s="9"/>
      <c r="F56" s="9">
        <v>0</v>
      </c>
      <c r="G56" s="83">
        <v>4857</v>
      </c>
      <c r="H56" s="83">
        <f t="shared" si="13"/>
        <v>4857</v>
      </c>
      <c r="I56" s="133">
        <f t="shared" si="10"/>
        <v>1</v>
      </c>
      <c r="J56" s="82">
        <v>0</v>
      </c>
      <c r="K56" s="82"/>
      <c r="L56" s="82"/>
      <c r="M56" s="82"/>
      <c r="N56" s="82"/>
      <c r="O56" s="82"/>
      <c r="P56" s="82"/>
      <c r="Q56" s="82"/>
      <c r="R56" s="82"/>
      <c r="S56" s="23">
        <v>4857</v>
      </c>
      <c r="T56" s="23"/>
      <c r="U56" s="23"/>
      <c r="V56" s="79" t="s">
        <v>530</v>
      </c>
      <c r="W56" s="82">
        <f t="shared" si="11"/>
        <v>0</v>
      </c>
      <c r="X56" s="79"/>
      <c r="Y56" s="4"/>
      <c r="Z56" s="4"/>
      <c r="AA56" s="82"/>
      <c r="AB56" s="82"/>
      <c r="AC56" s="82"/>
      <c r="AD56" s="23"/>
      <c r="AE56" s="7" t="s">
        <v>389</v>
      </c>
      <c r="AH56" s="23">
        <f>SUM('2021 Detail'!J53:U53)+SUM('2021 Detail'!AA53)</f>
        <v>4856.9399999999996</v>
      </c>
      <c r="AJ56" s="23">
        <f t="shared" si="12"/>
        <v>6.0000000000400178E-2</v>
      </c>
      <c r="AL56" t="str">
        <f t="shared" si="14"/>
        <v>Up</v>
      </c>
    </row>
    <row r="57" spans="1:45" x14ac:dyDescent="0.2">
      <c r="A57" s="226" t="s">
        <v>52</v>
      </c>
      <c r="B57" s="9" t="s">
        <v>495</v>
      </c>
      <c r="C57" s="9" t="s">
        <v>495</v>
      </c>
      <c r="D57" s="9">
        <v>0</v>
      </c>
      <c r="E57" s="9"/>
      <c r="F57" s="9">
        <v>0</v>
      </c>
      <c r="G57" s="83">
        <v>25764</v>
      </c>
      <c r="H57" s="83">
        <f t="shared" si="13"/>
        <v>23617</v>
      </c>
      <c r="I57" s="133">
        <f t="shared" si="10"/>
        <v>0.91669999999999996</v>
      </c>
      <c r="J57" s="82">
        <v>2147</v>
      </c>
      <c r="K57" s="82">
        <v>2147</v>
      </c>
      <c r="L57" s="82">
        <v>2147</v>
      </c>
      <c r="M57" s="82">
        <v>2147</v>
      </c>
      <c r="N57" s="82">
        <v>2147</v>
      </c>
      <c r="O57" s="82"/>
      <c r="P57" s="82">
        <v>4294</v>
      </c>
      <c r="Q57" s="82"/>
      <c r="R57" s="82">
        <v>4294</v>
      </c>
      <c r="S57" s="23">
        <v>2147</v>
      </c>
      <c r="T57" s="23">
        <v>2147</v>
      </c>
      <c r="U57" s="23"/>
      <c r="V57" s="79" t="s">
        <v>531</v>
      </c>
      <c r="W57" s="82">
        <f t="shared" si="11"/>
        <v>2147</v>
      </c>
      <c r="X57" s="79"/>
      <c r="Y57" s="4"/>
      <c r="Z57" s="4"/>
      <c r="AA57" s="82"/>
      <c r="AB57" s="82"/>
      <c r="AC57" s="82"/>
      <c r="AD57" s="23"/>
      <c r="AE57" s="7" t="s">
        <v>393</v>
      </c>
      <c r="AH57" s="23">
        <f>SUM('2021 Detail'!J54:U54)+SUM('2021 Detail'!AA54)</f>
        <v>25764</v>
      </c>
      <c r="AJ57" s="23">
        <f t="shared" si="12"/>
        <v>-2147</v>
      </c>
      <c r="AL57" t="str">
        <f t="shared" si="14"/>
        <v>Down</v>
      </c>
      <c r="AQ57" s="23">
        <v>2147</v>
      </c>
    </row>
    <row r="58" spans="1:45" x14ac:dyDescent="0.2">
      <c r="A58" s="226" t="s">
        <v>53</v>
      </c>
      <c r="B58" s="9" t="s">
        <v>495</v>
      </c>
      <c r="C58" s="9" t="s">
        <v>495</v>
      </c>
      <c r="D58" s="9" t="s">
        <v>495</v>
      </c>
      <c r="E58" s="9"/>
      <c r="F58" s="9">
        <v>0</v>
      </c>
      <c r="G58" s="83">
        <v>4461</v>
      </c>
      <c r="H58" s="83">
        <f t="shared" si="13"/>
        <v>4485.96</v>
      </c>
      <c r="I58" s="133">
        <f t="shared" si="10"/>
        <v>1.0056</v>
      </c>
      <c r="J58" s="82">
        <v>373.83</v>
      </c>
      <c r="K58" s="82">
        <v>373.83</v>
      </c>
      <c r="L58" s="82">
        <v>373.83</v>
      </c>
      <c r="M58" s="82">
        <v>373.83</v>
      </c>
      <c r="N58" s="82">
        <v>373.83</v>
      </c>
      <c r="O58" s="82">
        <v>373.83</v>
      </c>
      <c r="P58" s="82">
        <v>373.83</v>
      </c>
      <c r="Q58" s="82">
        <v>373.83</v>
      </c>
      <c r="R58" s="82">
        <v>373.83</v>
      </c>
      <c r="S58" s="23">
        <v>373.83</v>
      </c>
      <c r="T58" s="23">
        <v>373.83</v>
      </c>
      <c r="U58" s="23">
        <v>373.83</v>
      </c>
      <c r="V58" s="79" t="s">
        <v>532</v>
      </c>
      <c r="W58" s="82">
        <f t="shared" si="11"/>
        <v>-24.960000000000036</v>
      </c>
      <c r="X58" s="79"/>
      <c r="Y58" s="4"/>
      <c r="Z58" s="4"/>
      <c r="AA58" s="82"/>
      <c r="AB58" s="82"/>
      <c r="AC58" s="82"/>
      <c r="AD58" s="23"/>
      <c r="AE58" s="7" t="s">
        <v>393</v>
      </c>
      <c r="AH58" s="23">
        <f>SUM('2021 Detail'!J55:U55)+SUM('2021 Detail'!AA55)</f>
        <v>4485.96</v>
      </c>
      <c r="AJ58" s="23">
        <f t="shared" si="12"/>
        <v>0</v>
      </c>
      <c r="AL58" t="str">
        <f t="shared" si="14"/>
        <v>Same</v>
      </c>
      <c r="AQ58" s="23">
        <v>373.83</v>
      </c>
    </row>
    <row r="59" spans="1:45" x14ac:dyDescent="0.2">
      <c r="A59" s="226" t="s">
        <v>54</v>
      </c>
      <c r="B59" s="9" t="s">
        <v>495</v>
      </c>
      <c r="C59" s="9" t="s">
        <v>495</v>
      </c>
      <c r="D59" s="9">
        <v>0</v>
      </c>
      <c r="E59" s="9"/>
      <c r="F59" s="9" t="s">
        <v>495</v>
      </c>
      <c r="G59" s="83">
        <v>13020</v>
      </c>
      <c r="H59" s="83">
        <f t="shared" si="13"/>
        <v>9000</v>
      </c>
      <c r="I59" s="133">
        <f t="shared" si="10"/>
        <v>0.69120000000000004</v>
      </c>
      <c r="J59" s="82">
        <v>265</v>
      </c>
      <c r="K59" s="82">
        <v>265</v>
      </c>
      <c r="L59" s="82">
        <v>265</v>
      </c>
      <c r="M59" s="82">
        <v>265</v>
      </c>
      <c r="N59" s="82">
        <v>265</v>
      </c>
      <c r="O59" s="82">
        <v>265</v>
      </c>
      <c r="P59" s="82">
        <v>265</v>
      </c>
      <c r="Q59" s="82">
        <v>265</v>
      </c>
      <c r="R59" s="82">
        <v>720</v>
      </c>
      <c r="S59" s="23">
        <v>720</v>
      </c>
      <c r="T59" s="23">
        <v>720</v>
      </c>
      <c r="U59" s="23">
        <v>4720</v>
      </c>
      <c r="V59" s="79" t="s">
        <v>533</v>
      </c>
      <c r="W59" s="82">
        <f t="shared" si="11"/>
        <v>4020</v>
      </c>
      <c r="X59" s="79"/>
      <c r="Y59" s="4"/>
      <c r="Z59" s="4"/>
      <c r="AA59" s="82"/>
      <c r="AB59" s="82"/>
      <c r="AC59" s="82"/>
      <c r="AD59" s="23"/>
      <c r="AE59" s="7" t="s">
        <v>386</v>
      </c>
      <c r="AH59" s="23">
        <f>SUM('2021 Detail'!J56:U56)+SUM('2021 Detail'!AA56)</f>
        <v>7002.87</v>
      </c>
      <c r="AJ59" s="23">
        <f t="shared" si="12"/>
        <v>1997.13</v>
      </c>
      <c r="AL59" t="str">
        <f t="shared" si="14"/>
        <v>Up</v>
      </c>
      <c r="AQ59" s="23">
        <v>3265</v>
      </c>
    </row>
    <row r="60" spans="1:45" x14ac:dyDescent="0.2">
      <c r="A60" s="226" t="s">
        <v>55</v>
      </c>
      <c r="B60" s="9" t="s">
        <v>495</v>
      </c>
      <c r="C60" s="9" t="s">
        <v>495</v>
      </c>
      <c r="D60" s="9">
        <v>0</v>
      </c>
      <c r="E60" s="9"/>
      <c r="F60" s="9">
        <v>0</v>
      </c>
      <c r="G60" s="83">
        <v>11417</v>
      </c>
      <c r="H60" s="83">
        <f t="shared" si="13"/>
        <v>11448</v>
      </c>
      <c r="I60" s="133">
        <f t="shared" si="10"/>
        <v>1.0026999999999999</v>
      </c>
      <c r="J60" s="82">
        <v>0</v>
      </c>
      <c r="K60" s="82">
        <v>954</v>
      </c>
      <c r="L60" s="82">
        <v>477</v>
      </c>
      <c r="M60" s="82">
        <v>477</v>
      </c>
      <c r="N60" s="82">
        <v>477</v>
      </c>
      <c r="O60" s="82">
        <v>477</v>
      </c>
      <c r="P60" s="82">
        <v>954</v>
      </c>
      <c r="Q60" s="82">
        <v>954</v>
      </c>
      <c r="R60" s="82">
        <v>954</v>
      </c>
      <c r="S60" s="23">
        <v>954</v>
      </c>
      <c r="T60" s="23">
        <v>954</v>
      </c>
      <c r="U60" s="23">
        <v>3816</v>
      </c>
      <c r="V60" s="79" t="s">
        <v>534</v>
      </c>
      <c r="W60" s="82">
        <f t="shared" si="11"/>
        <v>-31</v>
      </c>
      <c r="X60" s="79"/>
      <c r="Y60" s="4"/>
      <c r="Z60" s="4"/>
      <c r="AA60" s="82"/>
      <c r="AB60" s="82"/>
      <c r="AC60" s="82"/>
      <c r="AD60" s="23"/>
      <c r="AE60" s="7" t="s">
        <v>386</v>
      </c>
      <c r="AH60" s="23">
        <f>SUM('2021 Detail'!J57:U57)+SUM('2021 Detail'!AA57)</f>
        <v>8586</v>
      </c>
      <c r="AJ60" s="23">
        <f t="shared" si="12"/>
        <v>2862</v>
      </c>
      <c r="AL60" t="str">
        <f t="shared" si="14"/>
        <v>Up</v>
      </c>
      <c r="AQ60" s="23">
        <v>3339</v>
      </c>
    </row>
    <row r="61" spans="1:45" x14ac:dyDescent="0.2">
      <c r="A61" s="226" t="s">
        <v>56</v>
      </c>
      <c r="B61" s="9" t="s">
        <v>495</v>
      </c>
      <c r="C61" s="9" t="s">
        <v>495</v>
      </c>
      <c r="D61" s="9">
        <v>0</v>
      </c>
      <c r="E61" s="9"/>
      <c r="F61" s="9" t="s">
        <v>495</v>
      </c>
      <c r="G61" s="83">
        <v>7344</v>
      </c>
      <c r="H61" s="83">
        <f t="shared" si="13"/>
        <v>3672</v>
      </c>
      <c r="I61" s="133">
        <f t="shared" si="10"/>
        <v>0.5</v>
      </c>
      <c r="J61" s="82">
        <v>130</v>
      </c>
      <c r="K61" s="82">
        <v>150</v>
      </c>
      <c r="L61" s="82">
        <v>150</v>
      </c>
      <c r="M61" s="82">
        <v>150</v>
      </c>
      <c r="N61" s="82">
        <v>150</v>
      </c>
      <c r="O61" s="82">
        <v>150</v>
      </c>
      <c r="P61" s="82">
        <v>150</v>
      </c>
      <c r="Q61" s="82">
        <v>150</v>
      </c>
      <c r="R61" s="82">
        <v>150</v>
      </c>
      <c r="S61" s="23">
        <v>150</v>
      </c>
      <c r="T61" s="23">
        <v>150</v>
      </c>
      <c r="U61" s="23">
        <v>2042</v>
      </c>
      <c r="V61" s="79" t="s">
        <v>535</v>
      </c>
      <c r="W61" s="82">
        <f t="shared" si="11"/>
        <v>3672</v>
      </c>
      <c r="X61" s="79"/>
      <c r="Y61" s="4"/>
      <c r="Z61" s="4"/>
      <c r="AA61" s="82"/>
      <c r="AB61" s="82"/>
      <c r="AC61" s="82"/>
      <c r="AD61" s="23"/>
      <c r="AE61" s="7" t="s">
        <v>386</v>
      </c>
      <c r="AH61" s="23">
        <f>SUM('2021 Detail'!J58:U58)+SUM('2021 Detail'!AA58)</f>
        <v>1560</v>
      </c>
      <c r="AJ61" s="23">
        <f t="shared" si="12"/>
        <v>2112</v>
      </c>
      <c r="AL61" t="str">
        <f t="shared" si="14"/>
        <v>Up</v>
      </c>
      <c r="AQ61" s="23">
        <v>130</v>
      </c>
    </row>
    <row r="62" spans="1:45" x14ac:dyDescent="0.2">
      <c r="A62" s="226" t="s">
        <v>57</v>
      </c>
      <c r="B62" s="9" t="s">
        <v>495</v>
      </c>
      <c r="C62" s="9" t="s">
        <v>495</v>
      </c>
      <c r="D62" s="9" t="s">
        <v>495</v>
      </c>
      <c r="E62" s="9"/>
      <c r="F62" s="9" t="s">
        <v>495</v>
      </c>
      <c r="G62" s="83">
        <v>61316</v>
      </c>
      <c r="H62" s="83">
        <f t="shared" si="13"/>
        <v>30832.560000000005</v>
      </c>
      <c r="I62" s="133">
        <f t="shared" si="10"/>
        <v>0.50280000000000002</v>
      </c>
      <c r="J62" s="82">
        <v>2569.38</v>
      </c>
      <c r="K62" s="82">
        <v>2569.38</v>
      </c>
      <c r="L62" s="82">
        <v>2569.38</v>
      </c>
      <c r="M62" s="82">
        <v>2569.38</v>
      </c>
      <c r="N62" s="82">
        <v>2569.38</v>
      </c>
      <c r="O62" s="82">
        <v>2569.38</v>
      </c>
      <c r="P62" s="82">
        <v>2569.38</v>
      </c>
      <c r="Q62" s="82">
        <v>2569.38</v>
      </c>
      <c r="R62" s="82">
        <v>0</v>
      </c>
      <c r="S62" s="23">
        <v>5138.76</v>
      </c>
      <c r="T62" s="23">
        <v>2569.38</v>
      </c>
      <c r="U62" s="23">
        <v>2569.38</v>
      </c>
      <c r="V62" s="79" t="s">
        <v>536</v>
      </c>
      <c r="W62" s="82">
        <f t="shared" si="11"/>
        <v>30483.439999999995</v>
      </c>
      <c r="X62" s="79"/>
      <c r="Y62" s="4"/>
      <c r="Z62" s="4"/>
      <c r="AA62" s="82"/>
      <c r="AB62" s="82"/>
      <c r="AC62" s="82"/>
      <c r="AD62" s="23"/>
      <c r="AE62" s="7" t="s">
        <v>388</v>
      </c>
      <c r="AH62" s="23">
        <f>SUM('2021 Detail'!J59:U59)+SUM('2021 Detail'!AA59)</f>
        <v>30832.560000000009</v>
      </c>
      <c r="AJ62" s="23">
        <f t="shared" si="12"/>
        <v>0</v>
      </c>
      <c r="AL62" t="str">
        <f t="shared" si="14"/>
        <v>Same</v>
      </c>
      <c r="AQ62" s="23">
        <v>2569.38</v>
      </c>
    </row>
    <row r="63" spans="1:45" x14ac:dyDescent="0.2">
      <c r="A63" s="226" t="s">
        <v>58</v>
      </c>
      <c r="B63" s="9" t="s">
        <v>495</v>
      </c>
      <c r="C63" s="9" t="s">
        <v>495</v>
      </c>
      <c r="D63" s="9">
        <v>0</v>
      </c>
      <c r="E63" s="9"/>
      <c r="F63" s="9">
        <v>0</v>
      </c>
      <c r="G63" s="83">
        <v>12412</v>
      </c>
      <c r="H63" s="83">
        <f t="shared" si="13"/>
        <v>12412.200000000003</v>
      </c>
      <c r="I63" s="133">
        <f t="shared" si="10"/>
        <v>1</v>
      </c>
      <c r="J63" s="82">
        <v>1034.3499999999999</v>
      </c>
      <c r="K63" s="82">
        <v>1034.3499999999999</v>
      </c>
      <c r="L63" s="82">
        <v>1034.3499999999999</v>
      </c>
      <c r="M63" s="82">
        <v>1034.3499999999999</v>
      </c>
      <c r="N63" s="82">
        <v>1034.3499999999999</v>
      </c>
      <c r="O63" s="82">
        <v>1034.3499999999999</v>
      </c>
      <c r="P63" s="82">
        <v>1034.3499999999999</v>
      </c>
      <c r="Q63" s="82">
        <v>1034.3499999999999</v>
      </c>
      <c r="R63" s="82">
        <v>1034.3499999999999</v>
      </c>
      <c r="S63" s="23">
        <v>1034.3499999999999</v>
      </c>
      <c r="T63" s="23">
        <v>1034.3499999999999</v>
      </c>
      <c r="U63" s="23">
        <v>1034.3499999999999</v>
      </c>
      <c r="V63" s="79" t="s">
        <v>537</v>
      </c>
      <c r="W63" s="82">
        <f t="shared" si="11"/>
        <v>-0.20000000000254659</v>
      </c>
      <c r="X63" s="79"/>
      <c r="Y63" s="4"/>
      <c r="Z63" s="4"/>
      <c r="AA63" s="82"/>
      <c r="AB63" s="82"/>
      <c r="AC63" s="82"/>
      <c r="AD63" s="23"/>
      <c r="AE63" s="7" t="s">
        <v>389</v>
      </c>
      <c r="AH63" s="23">
        <f>SUM('2021 Detail'!J60:U60)+SUM('2021 Detail'!AA60)</f>
        <v>12412.200000000003</v>
      </c>
      <c r="AJ63" s="23">
        <f t="shared" si="12"/>
        <v>0</v>
      </c>
      <c r="AL63" t="str">
        <f t="shared" si="14"/>
        <v>Same</v>
      </c>
      <c r="AQ63" s="23">
        <v>1034.3499999999999</v>
      </c>
    </row>
    <row r="64" spans="1:45" x14ac:dyDescent="0.2">
      <c r="A64" s="226" t="s">
        <v>59</v>
      </c>
      <c r="B64" s="9">
        <v>0</v>
      </c>
      <c r="C64" s="9" t="s">
        <v>495</v>
      </c>
      <c r="D64" s="9">
        <v>0</v>
      </c>
      <c r="E64" s="9"/>
      <c r="F64" s="9">
        <v>0</v>
      </c>
      <c r="G64" s="83">
        <v>4857</v>
      </c>
      <c r="H64" s="83">
        <f t="shared" si="13"/>
        <v>4857</v>
      </c>
      <c r="I64" s="133">
        <f t="shared" si="10"/>
        <v>1</v>
      </c>
      <c r="J64" s="82">
        <v>0</v>
      </c>
      <c r="K64" s="82"/>
      <c r="L64" s="82"/>
      <c r="M64" s="82"/>
      <c r="N64" s="82"/>
      <c r="O64" s="82">
        <v>2500</v>
      </c>
      <c r="P64" s="82"/>
      <c r="Q64" s="82"/>
      <c r="R64" s="82"/>
      <c r="S64" s="23"/>
      <c r="T64" s="23"/>
      <c r="U64" s="23">
        <v>2357</v>
      </c>
      <c r="V64" s="79" t="s">
        <v>538</v>
      </c>
      <c r="W64" s="82">
        <f t="shared" si="11"/>
        <v>0</v>
      </c>
      <c r="X64" s="79"/>
      <c r="Y64" s="4"/>
      <c r="Z64" s="4"/>
      <c r="AA64" s="82"/>
      <c r="AB64" s="82"/>
      <c r="AC64" s="82"/>
      <c r="AD64" s="23"/>
      <c r="AE64" s="7" t="s">
        <v>389</v>
      </c>
      <c r="AH64" s="23">
        <f>SUM('2021 Detail'!J61:U61)+SUM('2021 Detail'!AA61)</f>
        <v>4856.9400000000005</v>
      </c>
      <c r="AJ64" s="23">
        <f t="shared" si="12"/>
        <v>5.9999999999490683E-2</v>
      </c>
      <c r="AL64" t="str">
        <f t="shared" si="14"/>
        <v>Up</v>
      </c>
      <c r="AQ64" s="23">
        <v>2356.94</v>
      </c>
    </row>
    <row r="65" spans="1:43" x14ac:dyDescent="0.2">
      <c r="A65" s="226" t="s">
        <v>60</v>
      </c>
      <c r="B65" s="9" t="s">
        <v>495</v>
      </c>
      <c r="C65" s="9" t="s">
        <v>495</v>
      </c>
      <c r="D65" s="9" t="s">
        <v>495</v>
      </c>
      <c r="E65" s="9"/>
      <c r="F65" s="9">
        <v>0</v>
      </c>
      <c r="G65" s="83">
        <v>41514</v>
      </c>
      <c r="H65" s="83">
        <f t="shared" si="13"/>
        <v>15614</v>
      </c>
      <c r="I65" s="133">
        <f t="shared" si="10"/>
        <v>0.37609999999999999</v>
      </c>
      <c r="J65" s="82">
        <v>0</v>
      </c>
      <c r="K65" s="82"/>
      <c r="L65" s="82">
        <v>7000</v>
      </c>
      <c r="M65" s="82"/>
      <c r="N65" s="82"/>
      <c r="O65" s="82"/>
      <c r="P65" s="82"/>
      <c r="Q65" s="82"/>
      <c r="R65" s="82"/>
      <c r="S65" s="23">
        <v>7000</v>
      </c>
      <c r="T65" s="23"/>
      <c r="U65" s="23">
        <v>1614</v>
      </c>
      <c r="V65" s="79" t="s">
        <v>539</v>
      </c>
      <c r="W65" s="82">
        <f t="shared" si="11"/>
        <v>25900</v>
      </c>
      <c r="X65" s="79"/>
      <c r="Y65" s="4"/>
      <c r="Z65" s="4"/>
      <c r="AA65" s="82"/>
      <c r="AB65" s="82"/>
      <c r="AC65" s="82"/>
      <c r="AD65" s="23"/>
      <c r="AE65" s="7" t="s">
        <v>390</v>
      </c>
      <c r="AH65" s="23">
        <f>SUM('2021 Detail'!J62:U62)+SUM('2021 Detail'!AA62)</f>
        <v>25000</v>
      </c>
      <c r="AJ65" s="23">
        <f t="shared" si="12"/>
        <v>-9386</v>
      </c>
      <c r="AL65" t="str">
        <f t="shared" si="14"/>
        <v>Down</v>
      </c>
      <c r="AQ65" s="23">
        <v>2000</v>
      </c>
    </row>
    <row r="66" spans="1:43" x14ac:dyDescent="0.2">
      <c r="A66" s="226" t="s">
        <v>61</v>
      </c>
      <c r="B66" s="9" t="s">
        <v>495</v>
      </c>
      <c r="C66" s="9" t="s">
        <v>495</v>
      </c>
      <c r="D66" s="9">
        <v>0</v>
      </c>
      <c r="E66" s="9"/>
      <c r="F66" s="9">
        <v>0</v>
      </c>
      <c r="G66" s="83">
        <v>12667</v>
      </c>
      <c r="H66" s="83">
        <f t="shared" si="13"/>
        <v>4000</v>
      </c>
      <c r="I66" s="133">
        <f t="shared" si="10"/>
        <v>0.31580000000000003</v>
      </c>
      <c r="J66" s="82">
        <v>0</v>
      </c>
      <c r="K66" s="82"/>
      <c r="L66" s="82"/>
      <c r="M66" s="82">
        <v>1000</v>
      </c>
      <c r="N66" s="82"/>
      <c r="O66" s="82"/>
      <c r="P66" s="82"/>
      <c r="Q66" s="82">
        <v>1000</v>
      </c>
      <c r="R66" s="82">
        <v>2000</v>
      </c>
      <c r="S66" s="23"/>
      <c r="T66" s="23"/>
      <c r="U66" s="23"/>
      <c r="V66" s="79" t="s">
        <v>540</v>
      </c>
      <c r="W66" s="82">
        <f t="shared" si="11"/>
        <v>8667</v>
      </c>
      <c r="X66" s="79"/>
      <c r="Y66" s="4"/>
      <c r="Z66" s="4"/>
      <c r="AA66" s="82"/>
      <c r="AB66" s="82"/>
      <c r="AC66" s="82"/>
      <c r="AD66" s="23"/>
      <c r="AE66" s="7" t="s">
        <v>390</v>
      </c>
      <c r="AH66" s="23">
        <f>SUM('2021 Detail'!J63:U63)+SUM('2021 Detail'!AA63)</f>
        <v>3800</v>
      </c>
      <c r="AJ66" s="23">
        <f t="shared" si="12"/>
        <v>200</v>
      </c>
      <c r="AL66" t="str">
        <f t="shared" si="14"/>
        <v>Up</v>
      </c>
    </row>
    <row r="67" spans="1:43" x14ac:dyDescent="0.2">
      <c r="A67" s="226" t="s">
        <v>62</v>
      </c>
      <c r="B67" s="9" t="s">
        <v>495</v>
      </c>
      <c r="C67" s="9" t="s">
        <v>495</v>
      </c>
      <c r="D67" s="9">
        <v>0</v>
      </c>
      <c r="E67" s="9"/>
      <c r="F67" s="9">
        <v>0</v>
      </c>
      <c r="G67" s="83">
        <v>29013</v>
      </c>
      <c r="H67" s="83">
        <f t="shared" si="13"/>
        <v>24500</v>
      </c>
      <c r="I67" s="133">
        <f t="shared" si="10"/>
        <v>0.84440000000000004</v>
      </c>
      <c r="J67" s="82">
        <v>0</v>
      </c>
      <c r="K67" s="82">
        <v>2000</v>
      </c>
      <c r="L67" s="82">
        <v>3000</v>
      </c>
      <c r="M67" s="82"/>
      <c r="N67" s="82">
        <v>1500</v>
      </c>
      <c r="O67" s="82"/>
      <c r="P67" s="82"/>
      <c r="Q67" s="82">
        <v>7000</v>
      </c>
      <c r="R67" s="82"/>
      <c r="S67" s="23"/>
      <c r="T67" s="23"/>
      <c r="U67" s="23"/>
      <c r="V67" s="79" t="s">
        <v>541</v>
      </c>
      <c r="W67" s="82">
        <f t="shared" si="11"/>
        <v>4513</v>
      </c>
      <c r="X67" s="79"/>
      <c r="Y67" s="4"/>
      <c r="Z67" s="4"/>
      <c r="AA67" s="82">
        <v>11000</v>
      </c>
      <c r="AB67" s="82"/>
      <c r="AC67" s="82"/>
      <c r="AD67" s="23"/>
      <c r="AE67" s="7" t="s">
        <v>391</v>
      </c>
      <c r="AH67" s="23">
        <f>SUM('2021 Detail'!J64:U64)+SUM('2021 Detail'!AA64)</f>
        <v>20500</v>
      </c>
      <c r="AJ67" s="23">
        <f t="shared" si="12"/>
        <v>4000</v>
      </c>
      <c r="AL67" t="str">
        <f t="shared" si="14"/>
        <v>Up</v>
      </c>
      <c r="AQ67" s="23">
        <v>5500</v>
      </c>
    </row>
    <row r="68" spans="1:43" x14ac:dyDescent="0.2">
      <c r="A68" s="226" t="s">
        <v>63</v>
      </c>
      <c r="B68" s="9" t="s">
        <v>495</v>
      </c>
      <c r="C68" s="9" t="s">
        <v>495</v>
      </c>
      <c r="D68" s="9" t="s">
        <v>495</v>
      </c>
      <c r="E68" s="9"/>
      <c r="F68" s="9">
        <v>0</v>
      </c>
      <c r="G68" s="83">
        <v>9094</v>
      </c>
      <c r="H68" s="83">
        <f t="shared" si="13"/>
        <v>6360</v>
      </c>
      <c r="I68" s="133">
        <f t="shared" si="10"/>
        <v>0.69940000000000002</v>
      </c>
      <c r="J68" s="82">
        <v>390</v>
      </c>
      <c r="K68" s="82">
        <v>390</v>
      </c>
      <c r="L68" s="82">
        <v>558</v>
      </c>
      <c r="M68" s="82">
        <v>558</v>
      </c>
      <c r="N68" s="82">
        <v>558</v>
      </c>
      <c r="O68" s="82">
        <v>558</v>
      </c>
      <c r="P68" s="82">
        <v>558</v>
      </c>
      <c r="Q68" s="82">
        <v>558</v>
      </c>
      <c r="R68" s="82">
        <v>558</v>
      </c>
      <c r="S68" s="23">
        <v>558</v>
      </c>
      <c r="T68" s="23">
        <v>558</v>
      </c>
      <c r="U68" s="23">
        <v>558</v>
      </c>
      <c r="V68" s="79" t="s">
        <v>542</v>
      </c>
      <c r="W68" s="82">
        <f t="shared" si="11"/>
        <v>2734</v>
      </c>
      <c r="X68" s="79"/>
      <c r="Y68" s="4"/>
      <c r="Z68" s="4"/>
      <c r="AA68" s="82"/>
      <c r="AB68" s="82"/>
      <c r="AC68" s="82"/>
      <c r="AD68" s="23"/>
      <c r="AE68" s="7" t="s">
        <v>391</v>
      </c>
      <c r="AH68" s="23">
        <f>SUM('2021 Detail'!J65:U65)+SUM('2021 Detail'!AA65)</f>
        <v>6360</v>
      </c>
      <c r="AJ68" s="23">
        <f t="shared" si="12"/>
        <v>0</v>
      </c>
      <c r="AL68" t="str">
        <f t="shared" si="14"/>
        <v>Same</v>
      </c>
      <c r="AQ68" s="23">
        <v>2070</v>
      </c>
    </row>
    <row r="69" spans="1:43" x14ac:dyDescent="0.2">
      <c r="A69" s="226" t="s">
        <v>64</v>
      </c>
      <c r="B69" s="9" t="s">
        <v>495</v>
      </c>
      <c r="C69" s="9" t="s">
        <v>495</v>
      </c>
      <c r="D69" s="9">
        <v>0</v>
      </c>
      <c r="E69" s="9"/>
      <c r="F69" s="9">
        <v>0</v>
      </c>
      <c r="G69" s="83">
        <v>19836</v>
      </c>
      <c r="H69" s="83">
        <f t="shared" si="13"/>
        <v>17300</v>
      </c>
      <c r="I69" s="133">
        <f t="shared" si="10"/>
        <v>0.87219999999999998</v>
      </c>
      <c r="J69" s="82">
        <v>525</v>
      </c>
      <c r="K69" s="82">
        <v>525</v>
      </c>
      <c r="L69" s="82">
        <v>525</v>
      </c>
      <c r="M69" s="82">
        <v>1525</v>
      </c>
      <c r="N69" s="82">
        <v>2525</v>
      </c>
      <c r="O69" s="82">
        <v>525</v>
      </c>
      <c r="P69" s="82">
        <v>1525</v>
      </c>
      <c r="Q69" s="82">
        <v>2525</v>
      </c>
      <c r="R69" s="82">
        <v>2525</v>
      </c>
      <c r="S69" s="23">
        <v>525</v>
      </c>
      <c r="T69" s="23">
        <v>2525</v>
      </c>
      <c r="U69" s="23">
        <v>1525</v>
      </c>
      <c r="V69" s="79" t="s">
        <v>543</v>
      </c>
      <c r="W69" s="82">
        <f t="shared" si="11"/>
        <v>2536</v>
      </c>
      <c r="X69" s="79"/>
      <c r="Y69" s="4"/>
      <c r="Z69" s="4"/>
      <c r="AA69" s="82"/>
      <c r="AB69" s="82"/>
      <c r="AC69" s="82"/>
      <c r="AD69" s="23"/>
      <c r="AE69" s="7" t="s">
        <v>391</v>
      </c>
      <c r="AH69" s="23">
        <f>SUM('2021 Detail'!J66:U66)+SUM('2021 Detail'!AA66)</f>
        <v>19835</v>
      </c>
      <c r="AJ69" s="23">
        <f t="shared" si="12"/>
        <v>-2535</v>
      </c>
      <c r="AL69" t="str">
        <f t="shared" si="14"/>
        <v>Down</v>
      </c>
      <c r="AQ69" s="23">
        <v>2060</v>
      </c>
    </row>
    <row r="70" spans="1:43" x14ac:dyDescent="0.2">
      <c r="A70" s="226" t="s">
        <v>65</v>
      </c>
      <c r="B70" s="9" t="s">
        <v>495</v>
      </c>
      <c r="C70" s="9" t="s">
        <v>495</v>
      </c>
      <c r="D70" s="9" t="s">
        <v>495</v>
      </c>
      <c r="E70" s="9"/>
      <c r="F70" s="9" t="s">
        <v>495</v>
      </c>
      <c r="G70" s="83">
        <v>26899</v>
      </c>
      <c r="H70" s="83">
        <f t="shared" si="13"/>
        <v>20196</v>
      </c>
      <c r="I70" s="133">
        <f t="shared" si="10"/>
        <v>0.75080000000000002</v>
      </c>
      <c r="J70" s="82">
        <v>1683</v>
      </c>
      <c r="K70" s="82">
        <v>1683</v>
      </c>
      <c r="L70" s="82">
        <v>1683</v>
      </c>
      <c r="M70" s="82">
        <v>1683</v>
      </c>
      <c r="N70" s="82">
        <v>1683</v>
      </c>
      <c r="O70" s="82">
        <v>1683</v>
      </c>
      <c r="P70" s="82">
        <v>1683</v>
      </c>
      <c r="Q70" s="82">
        <v>1683</v>
      </c>
      <c r="R70" s="82">
        <v>1683</v>
      </c>
      <c r="S70" s="23">
        <v>1683</v>
      </c>
      <c r="T70" s="23">
        <v>1683</v>
      </c>
      <c r="U70" s="23">
        <v>1683</v>
      </c>
      <c r="V70" s="79" t="s">
        <v>544</v>
      </c>
      <c r="W70" s="82">
        <f t="shared" si="11"/>
        <v>6703</v>
      </c>
      <c r="X70" s="79"/>
      <c r="Y70" s="4"/>
      <c r="Z70" s="4"/>
      <c r="AA70" s="82"/>
      <c r="AB70" s="82"/>
      <c r="AC70" s="82"/>
      <c r="AD70" s="23"/>
      <c r="AE70" s="7" t="s">
        <v>392</v>
      </c>
      <c r="AH70" s="23">
        <f>SUM('2021 Detail'!J67:U67)+SUM('2021 Detail'!AA67)</f>
        <v>20757</v>
      </c>
      <c r="AJ70" s="23">
        <f t="shared" si="12"/>
        <v>-561</v>
      </c>
      <c r="AL70" t="str">
        <f t="shared" si="14"/>
        <v>Down</v>
      </c>
      <c r="AQ70" s="23">
        <v>1683</v>
      </c>
    </row>
    <row r="71" spans="1:43" x14ac:dyDescent="0.2">
      <c r="A71" s="226" t="s">
        <v>66</v>
      </c>
      <c r="B71" s="9" t="s">
        <v>495</v>
      </c>
      <c r="C71" s="9" t="s">
        <v>495</v>
      </c>
      <c r="D71" s="9" t="s">
        <v>495</v>
      </c>
      <c r="E71" s="9"/>
      <c r="F71" s="9" t="s">
        <v>495</v>
      </c>
      <c r="G71" s="83">
        <v>8602</v>
      </c>
      <c r="H71" s="83">
        <f t="shared" si="13"/>
        <v>8602</v>
      </c>
      <c r="I71" s="133">
        <f t="shared" si="10"/>
        <v>1</v>
      </c>
      <c r="J71" s="82">
        <v>500</v>
      </c>
      <c r="K71" s="82">
        <v>736.6</v>
      </c>
      <c r="L71" s="82">
        <v>736.54</v>
      </c>
      <c r="M71" s="82">
        <v>736.54</v>
      </c>
      <c r="N71" s="82">
        <v>736.54</v>
      </c>
      <c r="O71" s="82">
        <v>736.54</v>
      </c>
      <c r="P71" s="82">
        <v>736.54</v>
      </c>
      <c r="Q71" s="82">
        <v>736.54</v>
      </c>
      <c r="R71" s="82">
        <v>736.54</v>
      </c>
      <c r="S71" s="23">
        <v>736.54</v>
      </c>
      <c r="T71" s="23">
        <v>736.54</v>
      </c>
      <c r="U71" s="23">
        <v>736.54</v>
      </c>
      <c r="V71" s="79" t="s">
        <v>545</v>
      </c>
      <c r="W71" s="82">
        <f t="shared" si="11"/>
        <v>0</v>
      </c>
      <c r="X71" s="79"/>
      <c r="Y71" s="4"/>
      <c r="Z71" s="4"/>
      <c r="AA71" s="82"/>
      <c r="AB71" s="82"/>
      <c r="AC71" s="82"/>
      <c r="AD71" s="23"/>
      <c r="AE71" s="7" t="s">
        <v>392</v>
      </c>
      <c r="AH71" s="23">
        <f>SUM('2021 Detail'!J68:U68)+SUM('2021 Detail'!AA68)</f>
        <v>8602</v>
      </c>
      <c r="AJ71" s="23">
        <f t="shared" si="12"/>
        <v>0</v>
      </c>
      <c r="AL71" t="str">
        <f t="shared" si="14"/>
        <v>Same</v>
      </c>
      <c r="AQ71" s="23">
        <v>500</v>
      </c>
    </row>
    <row r="72" spans="1:43" x14ac:dyDescent="0.2">
      <c r="A72" s="226" t="s">
        <v>67</v>
      </c>
      <c r="B72" s="9" t="s">
        <v>495</v>
      </c>
      <c r="C72" s="9" t="s">
        <v>495</v>
      </c>
      <c r="D72" s="9" t="s">
        <v>495</v>
      </c>
      <c r="E72" s="9"/>
      <c r="F72" s="9" t="s">
        <v>495</v>
      </c>
      <c r="G72" s="83">
        <v>4369</v>
      </c>
      <c r="H72" s="83">
        <f t="shared" si="13"/>
        <v>4369</v>
      </c>
      <c r="I72" s="133">
        <f t="shared" si="10"/>
        <v>1</v>
      </c>
      <c r="J72" s="82">
        <v>364.12</v>
      </c>
      <c r="K72" s="82">
        <v>364.08</v>
      </c>
      <c r="L72" s="82">
        <v>364.08</v>
      </c>
      <c r="M72" s="82">
        <v>364.08</v>
      </c>
      <c r="N72" s="82">
        <v>364.08</v>
      </c>
      <c r="O72" s="82">
        <v>364.08</v>
      </c>
      <c r="P72" s="82">
        <v>364.08</v>
      </c>
      <c r="Q72" s="82">
        <v>364.08</v>
      </c>
      <c r="R72" s="82">
        <v>364.08</v>
      </c>
      <c r="S72" s="23">
        <v>364.08</v>
      </c>
      <c r="T72" s="23">
        <v>364.08</v>
      </c>
      <c r="U72" s="23">
        <v>364.08</v>
      </c>
      <c r="V72" s="79" t="s">
        <v>546</v>
      </c>
      <c r="W72" s="82">
        <f t="shared" si="11"/>
        <v>0</v>
      </c>
      <c r="X72" s="79"/>
      <c r="Y72" s="4"/>
      <c r="Z72" s="4"/>
      <c r="AA72" s="82"/>
      <c r="AB72" s="82"/>
      <c r="AC72" s="82"/>
      <c r="AD72" s="23"/>
      <c r="AE72" s="7" t="s">
        <v>392</v>
      </c>
      <c r="AH72" s="23">
        <f>SUM('2021 Detail'!J69:U69)+SUM('2021 Detail'!AA69)</f>
        <v>4369</v>
      </c>
      <c r="AJ72" s="23">
        <f t="shared" si="12"/>
        <v>0</v>
      </c>
      <c r="AL72" t="str">
        <f t="shared" si="14"/>
        <v>Same</v>
      </c>
      <c r="AQ72" s="23">
        <v>364.04</v>
      </c>
    </row>
    <row r="73" spans="1:43" x14ac:dyDescent="0.2">
      <c r="A73" s="226" t="s">
        <v>68</v>
      </c>
      <c r="B73" s="9" t="s">
        <v>495</v>
      </c>
      <c r="C73" s="9" t="s">
        <v>495</v>
      </c>
      <c r="D73" s="9" t="s">
        <v>495</v>
      </c>
      <c r="E73" s="9"/>
      <c r="F73" s="9" t="s">
        <v>495</v>
      </c>
      <c r="G73" s="83">
        <v>9731</v>
      </c>
      <c r="H73" s="83">
        <f t="shared" si="13"/>
        <v>9731.0000000000018</v>
      </c>
      <c r="I73" s="133">
        <f t="shared" si="10"/>
        <v>1</v>
      </c>
      <c r="J73" s="82">
        <v>973.1</v>
      </c>
      <c r="K73" s="82">
        <v>973.1</v>
      </c>
      <c r="L73" s="82">
        <v>973.1</v>
      </c>
      <c r="M73" s="82">
        <v>973.1</v>
      </c>
      <c r="N73" s="82">
        <v>973.1</v>
      </c>
      <c r="O73" s="82">
        <v>973.1</v>
      </c>
      <c r="P73" s="82">
        <v>973.1</v>
      </c>
      <c r="Q73" s="82">
        <v>973.1</v>
      </c>
      <c r="R73" s="82">
        <v>973.1</v>
      </c>
      <c r="S73" s="23">
        <v>973.1</v>
      </c>
      <c r="T73" s="23"/>
      <c r="U73" s="23"/>
      <c r="V73" s="79" t="s">
        <v>547</v>
      </c>
      <c r="W73" s="82">
        <f t="shared" si="11"/>
        <v>0</v>
      </c>
      <c r="X73" s="79"/>
      <c r="Y73" s="4"/>
      <c r="Z73" s="4"/>
      <c r="AA73" s="82"/>
      <c r="AB73" s="82"/>
      <c r="AC73" s="82"/>
      <c r="AD73" s="23"/>
      <c r="AE73" s="7" t="s">
        <v>387</v>
      </c>
      <c r="AH73" s="23">
        <f>SUM('2021 Detail'!J70:U70)+SUM('2021 Detail'!AA70)</f>
        <v>9731.0000000000018</v>
      </c>
      <c r="AJ73" s="23">
        <f t="shared" si="12"/>
        <v>0</v>
      </c>
      <c r="AL73" t="str">
        <f t="shared" si="14"/>
        <v>Same</v>
      </c>
      <c r="AQ73" s="23">
        <v>0</v>
      </c>
    </row>
    <row r="74" spans="1:43" x14ac:dyDescent="0.2">
      <c r="A74" s="226" t="s">
        <v>69</v>
      </c>
      <c r="B74" s="9" t="s">
        <v>495</v>
      </c>
      <c r="C74" s="9" t="s">
        <v>495</v>
      </c>
      <c r="D74" s="9" t="s">
        <v>495</v>
      </c>
      <c r="E74" s="9"/>
      <c r="F74" s="9">
        <v>0</v>
      </c>
      <c r="G74" s="83">
        <v>2684</v>
      </c>
      <c r="H74" s="83">
        <f t="shared" si="13"/>
        <v>2684</v>
      </c>
      <c r="I74" s="133">
        <f t="shared" si="10"/>
        <v>1</v>
      </c>
      <c r="J74" s="82">
        <v>0</v>
      </c>
      <c r="K74" s="82"/>
      <c r="L74" s="82"/>
      <c r="M74" s="82"/>
      <c r="N74" s="82">
        <v>500</v>
      </c>
      <c r="O74" s="82"/>
      <c r="P74" s="82"/>
      <c r="Q74" s="82"/>
      <c r="R74" s="82"/>
      <c r="S74" s="23"/>
      <c r="T74" s="23">
        <v>2184</v>
      </c>
      <c r="U74" s="23"/>
      <c r="V74" s="79" t="s">
        <v>548</v>
      </c>
      <c r="W74" s="82">
        <f t="shared" si="11"/>
        <v>0</v>
      </c>
      <c r="X74" s="79"/>
      <c r="Y74" s="4"/>
      <c r="Z74" s="4"/>
      <c r="AA74" s="82"/>
      <c r="AB74" s="82"/>
      <c r="AC74" s="82"/>
      <c r="AD74" s="23"/>
      <c r="AE74" s="7" t="s">
        <v>387</v>
      </c>
      <c r="AH74" s="23">
        <f>SUM('2021 Detail'!J71:U71)+SUM('2021 Detail'!AA71)</f>
        <v>250</v>
      </c>
      <c r="AJ74" s="23">
        <f t="shared" si="12"/>
        <v>2434</v>
      </c>
      <c r="AL74" t="str">
        <f t="shared" si="14"/>
        <v>Up</v>
      </c>
      <c r="AQ74" s="23">
        <v>250</v>
      </c>
    </row>
    <row r="75" spans="1:43" x14ac:dyDescent="0.2">
      <c r="A75" s="226" t="s">
        <v>70</v>
      </c>
      <c r="B75" s="9" t="s">
        <v>495</v>
      </c>
      <c r="C75" s="9" t="s">
        <v>495</v>
      </c>
      <c r="D75" s="9" t="s">
        <v>495</v>
      </c>
      <c r="E75" s="9"/>
      <c r="F75" s="9">
        <v>0</v>
      </c>
      <c r="G75" s="83">
        <v>2684</v>
      </c>
      <c r="H75" s="83">
        <f t="shared" si="13"/>
        <v>2684</v>
      </c>
      <c r="I75" s="133">
        <f t="shared" si="10"/>
        <v>1</v>
      </c>
      <c r="J75" s="82">
        <v>0</v>
      </c>
      <c r="K75" s="82"/>
      <c r="L75" s="82"/>
      <c r="M75" s="82"/>
      <c r="N75" s="82"/>
      <c r="O75" s="82">
        <v>2684</v>
      </c>
      <c r="P75" s="82"/>
      <c r="Q75" s="82"/>
      <c r="R75" s="82"/>
      <c r="S75" s="23"/>
      <c r="T75" s="23"/>
      <c r="U75" s="23"/>
      <c r="V75" s="79" t="s">
        <v>549</v>
      </c>
      <c r="W75" s="82">
        <f t="shared" si="11"/>
        <v>0</v>
      </c>
      <c r="X75" s="79"/>
      <c r="Y75" s="4"/>
      <c r="Z75" s="4"/>
      <c r="AA75" s="82"/>
      <c r="AB75" s="82"/>
      <c r="AC75" s="82"/>
      <c r="AD75" s="23"/>
      <c r="AE75" s="7" t="s">
        <v>387</v>
      </c>
      <c r="AH75" s="23">
        <f>SUM('2021 Detail'!J72:U72)+SUM('2021 Detail'!AA72)</f>
        <v>2684</v>
      </c>
      <c r="AJ75" s="23">
        <f t="shared" si="12"/>
        <v>0</v>
      </c>
      <c r="AL75" t="str">
        <f t="shared" si="14"/>
        <v>Same</v>
      </c>
    </row>
    <row r="76" spans="1:43" x14ac:dyDescent="0.2">
      <c r="A76" s="226" t="s">
        <v>71</v>
      </c>
      <c r="B76" s="9" t="s">
        <v>495</v>
      </c>
      <c r="C76" s="9" t="s">
        <v>495</v>
      </c>
      <c r="D76" s="9" t="s">
        <v>495</v>
      </c>
      <c r="E76" s="9"/>
      <c r="F76" s="9">
        <v>0</v>
      </c>
      <c r="G76" s="83">
        <v>63265</v>
      </c>
      <c r="H76" s="83">
        <f t="shared" si="13"/>
        <v>63264.999999999993</v>
      </c>
      <c r="I76" s="133">
        <f t="shared" si="10"/>
        <v>1</v>
      </c>
      <c r="J76" s="82">
        <v>5272.08</v>
      </c>
      <c r="K76" s="82">
        <v>5272.1</v>
      </c>
      <c r="L76" s="82">
        <v>5272.1</v>
      </c>
      <c r="M76" s="82">
        <v>5272.1</v>
      </c>
      <c r="N76" s="82">
        <v>5272.1</v>
      </c>
      <c r="O76" s="82">
        <v>5272.1</v>
      </c>
      <c r="P76" s="82">
        <v>5272.1</v>
      </c>
      <c r="Q76" s="82">
        <v>5272.1</v>
      </c>
      <c r="R76" s="82">
        <v>5272.1</v>
      </c>
      <c r="S76" s="23">
        <v>5272.1</v>
      </c>
      <c r="T76" s="23">
        <v>5272.1</v>
      </c>
      <c r="U76" s="23">
        <v>5271.92</v>
      </c>
      <c r="V76" s="79" t="s">
        <v>550</v>
      </c>
      <c r="W76" s="82">
        <f t="shared" si="11"/>
        <v>0</v>
      </c>
      <c r="X76" s="79"/>
      <c r="Y76" s="4"/>
      <c r="Z76" s="4"/>
      <c r="AA76" s="82"/>
      <c r="AB76" s="82"/>
      <c r="AC76" s="82"/>
      <c r="AD76" s="23"/>
      <c r="AE76" s="7" t="s">
        <v>393</v>
      </c>
      <c r="AH76" s="23">
        <f>SUM('2021 Detail'!J73:U73)+SUM('2021 Detail'!AA73)</f>
        <v>63264.960000000006</v>
      </c>
      <c r="AJ76" s="23">
        <f t="shared" si="12"/>
        <v>3.99999999863212E-2</v>
      </c>
      <c r="AL76" t="str">
        <f t="shared" si="14"/>
        <v>Up</v>
      </c>
      <c r="AQ76" s="23">
        <v>5272.08</v>
      </c>
    </row>
    <row r="77" spans="1:43" x14ac:dyDescent="0.2">
      <c r="A77" s="226" t="s">
        <v>72</v>
      </c>
      <c r="B77" s="9" t="s">
        <v>495</v>
      </c>
      <c r="C77" s="9" t="s">
        <v>495</v>
      </c>
      <c r="D77" s="9">
        <v>0</v>
      </c>
      <c r="E77" s="9"/>
      <c r="F77" s="9" t="s">
        <v>495</v>
      </c>
      <c r="G77" s="83">
        <v>4346</v>
      </c>
      <c r="H77" s="83">
        <f t="shared" si="13"/>
        <v>4346</v>
      </c>
      <c r="I77" s="133">
        <f t="shared" si="10"/>
        <v>1</v>
      </c>
      <c r="J77" s="82">
        <v>363.92</v>
      </c>
      <c r="K77" s="82">
        <v>362.08</v>
      </c>
      <c r="L77" s="82">
        <v>362</v>
      </c>
      <c r="M77" s="82">
        <v>362</v>
      </c>
      <c r="N77" s="82">
        <v>362</v>
      </c>
      <c r="O77" s="82">
        <v>362</v>
      </c>
      <c r="P77" s="82">
        <v>362</v>
      </c>
      <c r="Q77" s="82">
        <v>362</v>
      </c>
      <c r="R77" s="82">
        <v>362</v>
      </c>
      <c r="S77" s="23">
        <v>362</v>
      </c>
      <c r="T77" s="23">
        <v>362</v>
      </c>
      <c r="U77" s="23">
        <v>362</v>
      </c>
      <c r="V77" s="79" t="s">
        <v>551</v>
      </c>
      <c r="W77" s="82">
        <f t="shared" si="11"/>
        <v>0</v>
      </c>
      <c r="X77" s="79"/>
      <c r="Y77" s="4"/>
      <c r="Z77" s="4"/>
      <c r="AA77" s="82"/>
      <c r="AB77" s="82"/>
      <c r="AC77" s="82"/>
      <c r="AD77" s="23"/>
      <c r="AE77" s="7" t="s">
        <v>393</v>
      </c>
      <c r="AH77" s="23">
        <f>SUM('2021 Detail'!J74:U74)+SUM('2021 Detail'!AA74)</f>
        <v>4346</v>
      </c>
      <c r="AJ77" s="23">
        <f t="shared" si="12"/>
        <v>0</v>
      </c>
      <c r="AL77" t="str">
        <f t="shared" si="14"/>
        <v>Same</v>
      </c>
      <c r="AQ77" s="23">
        <v>362</v>
      </c>
    </row>
    <row r="78" spans="1:43" x14ac:dyDescent="0.2">
      <c r="A78" s="226" t="s">
        <v>73</v>
      </c>
      <c r="B78" s="9" t="s">
        <v>495</v>
      </c>
      <c r="C78" s="9" t="s">
        <v>495</v>
      </c>
      <c r="D78" s="9" t="s">
        <v>495</v>
      </c>
      <c r="E78" s="9"/>
      <c r="F78" s="9" t="s">
        <v>495</v>
      </c>
      <c r="G78" s="83">
        <v>12290</v>
      </c>
      <c r="H78" s="83">
        <f t="shared" si="13"/>
        <v>12290</v>
      </c>
      <c r="I78" s="133">
        <f t="shared" si="10"/>
        <v>1</v>
      </c>
      <c r="J78" s="82">
        <v>1024.24</v>
      </c>
      <c r="K78" s="82">
        <v>1024.1600000000001</v>
      </c>
      <c r="L78" s="82">
        <v>1024.1600000000001</v>
      </c>
      <c r="M78" s="82">
        <v>1024.1600000000001</v>
      </c>
      <c r="N78" s="82">
        <v>1024.1600000000001</v>
      </c>
      <c r="O78" s="82">
        <v>1024.1600000000001</v>
      </c>
      <c r="P78" s="82">
        <v>1024.1600000000001</v>
      </c>
      <c r="Q78" s="82">
        <v>1024.1600000000001</v>
      </c>
      <c r="R78" s="82">
        <v>1024.1600000000001</v>
      </c>
      <c r="S78" s="23">
        <v>1024.1600000000001</v>
      </c>
      <c r="T78" s="23">
        <v>1024.1600000000001</v>
      </c>
      <c r="U78" s="23">
        <v>1024.1600000000001</v>
      </c>
      <c r="V78" s="79" t="s">
        <v>552</v>
      </c>
      <c r="W78" s="82">
        <f t="shared" si="11"/>
        <v>0</v>
      </c>
      <c r="X78" s="79"/>
      <c r="Y78" s="4"/>
      <c r="Z78" s="4"/>
      <c r="AA78" s="82"/>
      <c r="AB78" s="82"/>
      <c r="AC78" s="82"/>
      <c r="AD78" s="23"/>
      <c r="AE78" s="7" t="s">
        <v>392</v>
      </c>
      <c r="AH78" s="23">
        <f>SUM('2021 Detail'!J75:U75)+SUM('2021 Detail'!AA75)</f>
        <v>12289.999999999996</v>
      </c>
      <c r="AJ78" s="23">
        <f t="shared" si="12"/>
        <v>0</v>
      </c>
      <c r="AL78" t="str">
        <f t="shared" si="14"/>
        <v>Same</v>
      </c>
      <c r="AQ78" s="23">
        <v>1024.06</v>
      </c>
    </row>
    <row r="79" spans="1:43" x14ac:dyDescent="0.2">
      <c r="A79" s="226" t="s">
        <v>74</v>
      </c>
      <c r="B79" s="9" t="s">
        <v>495</v>
      </c>
      <c r="C79" s="9" t="s">
        <v>495</v>
      </c>
      <c r="D79" s="9" t="s">
        <v>495</v>
      </c>
      <c r="E79" s="9"/>
      <c r="F79" s="9">
        <v>0</v>
      </c>
      <c r="G79" s="83">
        <v>16112</v>
      </c>
      <c r="H79" s="83">
        <f t="shared" si="13"/>
        <v>16112</v>
      </c>
      <c r="I79" s="133">
        <f t="shared" si="10"/>
        <v>1</v>
      </c>
      <c r="J79" s="82">
        <v>1342</v>
      </c>
      <c r="K79" s="82">
        <v>1342</v>
      </c>
      <c r="L79" s="82">
        <v>1342</v>
      </c>
      <c r="M79" s="82">
        <v>1342</v>
      </c>
      <c r="N79" s="82">
        <v>1342</v>
      </c>
      <c r="O79" s="82">
        <v>1342</v>
      </c>
      <c r="P79" s="82">
        <v>1342</v>
      </c>
      <c r="Q79" s="82">
        <v>1342</v>
      </c>
      <c r="R79" s="82">
        <v>1342</v>
      </c>
      <c r="S79" s="23">
        <v>1342</v>
      </c>
      <c r="T79" s="23">
        <v>1342</v>
      </c>
      <c r="U79" s="23">
        <v>1350</v>
      </c>
      <c r="V79" s="79" t="s">
        <v>553</v>
      </c>
      <c r="W79" s="82">
        <f t="shared" si="11"/>
        <v>0</v>
      </c>
      <c r="X79" s="79"/>
      <c r="Y79" s="4"/>
      <c r="Z79" s="4"/>
      <c r="AA79" s="82"/>
      <c r="AB79" s="82"/>
      <c r="AC79" s="82"/>
      <c r="AD79" s="23"/>
      <c r="AE79" s="7" t="s">
        <v>392</v>
      </c>
      <c r="AH79" s="23">
        <f>SUM('2021 Detail'!J76:U76)+SUM('2021 Detail'!AA76)</f>
        <v>8052</v>
      </c>
      <c r="AJ79" s="23">
        <f t="shared" si="12"/>
        <v>8060</v>
      </c>
      <c r="AL79" t="str">
        <f t="shared" si="14"/>
        <v>Up</v>
      </c>
    </row>
    <row r="80" spans="1:43" x14ac:dyDescent="0.2">
      <c r="A80" s="226" t="s">
        <v>75</v>
      </c>
      <c r="B80" s="9" t="s">
        <v>495</v>
      </c>
      <c r="C80" s="9" t="s">
        <v>495</v>
      </c>
      <c r="D80" s="9">
        <v>0</v>
      </c>
      <c r="E80" s="9"/>
      <c r="F80" s="9">
        <v>0</v>
      </c>
      <c r="G80" s="83">
        <v>11832</v>
      </c>
      <c r="H80" s="83">
        <f t="shared" si="13"/>
        <v>3994</v>
      </c>
      <c r="I80" s="133">
        <f t="shared" si="10"/>
        <v>0.33760000000000001</v>
      </c>
      <c r="J80" s="82">
        <v>0</v>
      </c>
      <c r="K80" s="82">
        <v>1000</v>
      </c>
      <c r="L80" s="82"/>
      <c r="M80" s="82"/>
      <c r="N80" s="82"/>
      <c r="O80" s="82"/>
      <c r="P80" s="82">
        <v>1500</v>
      </c>
      <c r="Q80" s="82"/>
      <c r="R80" s="82">
        <v>1494</v>
      </c>
      <c r="S80" s="23"/>
      <c r="T80" s="23"/>
      <c r="U80" s="23"/>
      <c r="V80" s="79" t="s">
        <v>554</v>
      </c>
      <c r="W80" s="82">
        <f t="shared" si="11"/>
        <v>7838</v>
      </c>
      <c r="X80" s="79"/>
      <c r="Y80" s="4"/>
      <c r="Z80" s="4"/>
      <c r="AA80" s="82"/>
      <c r="AB80" s="82"/>
      <c r="AC80" s="82"/>
      <c r="AD80" s="23"/>
      <c r="AE80" s="7" t="s">
        <v>390</v>
      </c>
      <c r="AH80" s="23">
        <f>SUM('2021 Detail'!J77:U77)+SUM('2021 Detail'!AA77)</f>
        <v>5000</v>
      </c>
      <c r="AJ80" s="23">
        <f t="shared" si="12"/>
        <v>-1006</v>
      </c>
      <c r="AL80" t="str">
        <f t="shared" si="14"/>
        <v>Down</v>
      </c>
      <c r="AQ80" s="23">
        <v>3000</v>
      </c>
    </row>
    <row r="81" spans="1:43" x14ac:dyDescent="0.2">
      <c r="A81" s="226" t="s">
        <v>76</v>
      </c>
      <c r="B81" s="9" t="s">
        <v>495</v>
      </c>
      <c r="C81" s="9" t="s">
        <v>495</v>
      </c>
      <c r="D81" s="9">
        <v>0</v>
      </c>
      <c r="E81" s="9"/>
      <c r="F81" s="9">
        <v>0</v>
      </c>
      <c r="G81" s="83">
        <v>11851</v>
      </c>
      <c r="H81" s="83">
        <f t="shared" si="13"/>
        <v>2000</v>
      </c>
      <c r="I81" s="133">
        <f t="shared" si="10"/>
        <v>0.16880000000000001</v>
      </c>
      <c r="J81" s="82"/>
      <c r="K81" s="82"/>
      <c r="L81" s="82">
        <v>2000</v>
      </c>
      <c r="N81" s="82"/>
      <c r="O81" s="82"/>
      <c r="P81" s="82"/>
      <c r="Q81" s="82"/>
      <c r="R81" s="82"/>
      <c r="S81" s="23"/>
      <c r="T81" s="23"/>
      <c r="U81" s="23"/>
      <c r="V81" s="79" t="s">
        <v>555</v>
      </c>
      <c r="W81" s="82">
        <f t="shared" si="11"/>
        <v>9851</v>
      </c>
      <c r="X81" s="79"/>
      <c r="Y81" s="4"/>
      <c r="Z81" s="4"/>
      <c r="AA81" s="82"/>
      <c r="AB81" s="82"/>
      <c r="AC81" s="82"/>
      <c r="AD81" s="23"/>
      <c r="AE81" s="7" t="s">
        <v>391</v>
      </c>
      <c r="AH81" s="23">
        <f>SUM('2021 Detail'!J78:U78)+SUM('2021 Detail'!AA78)</f>
        <v>1000</v>
      </c>
      <c r="AJ81" s="23">
        <f t="shared" si="12"/>
        <v>1000</v>
      </c>
      <c r="AL81" t="str">
        <f t="shared" si="14"/>
        <v>Up</v>
      </c>
    </row>
    <row r="82" spans="1:43" x14ac:dyDescent="0.2">
      <c r="A82" s="226" t="s">
        <v>77</v>
      </c>
      <c r="B82" s="9" t="s">
        <v>495</v>
      </c>
      <c r="C82" s="9">
        <v>0</v>
      </c>
      <c r="D82" s="9">
        <v>0</v>
      </c>
      <c r="E82" s="9"/>
      <c r="F82" s="9">
        <v>0</v>
      </c>
      <c r="G82" s="83">
        <v>17785</v>
      </c>
      <c r="H82" s="83">
        <f t="shared" si="13"/>
        <v>17784.68</v>
      </c>
      <c r="I82" s="133">
        <f t="shared" si="10"/>
        <v>1</v>
      </c>
      <c r="J82" s="82"/>
      <c r="K82" s="82"/>
      <c r="L82" s="82"/>
      <c r="M82" s="82"/>
      <c r="N82" s="82"/>
      <c r="O82" s="82">
        <v>5000</v>
      </c>
      <c r="P82" s="82"/>
      <c r="Q82" s="82"/>
      <c r="R82" s="82"/>
      <c r="S82" s="23"/>
      <c r="T82" s="23"/>
      <c r="U82" s="23">
        <v>12784.68</v>
      </c>
      <c r="V82" s="79" t="s">
        <v>556</v>
      </c>
      <c r="W82" s="82">
        <f t="shared" si="11"/>
        <v>0.31999999999970896</v>
      </c>
      <c r="X82" s="79"/>
      <c r="Y82" s="4"/>
      <c r="Z82" s="4"/>
      <c r="AA82" s="82"/>
      <c r="AB82" s="82"/>
      <c r="AC82" s="82"/>
      <c r="AD82" s="23"/>
      <c r="AE82" s="7" t="s">
        <v>387</v>
      </c>
      <c r="AH82" s="23">
        <f>SUM('2021 Detail'!J79:U79)+SUM('2021 Detail'!AA79)</f>
        <v>17785</v>
      </c>
      <c r="AJ82" s="23">
        <f t="shared" si="12"/>
        <v>-0.31999999999970896</v>
      </c>
      <c r="AL82" t="str">
        <f t="shared" si="14"/>
        <v>Down</v>
      </c>
      <c r="AQ82" s="23">
        <v>8893</v>
      </c>
    </row>
    <row r="83" spans="1:43" x14ac:dyDescent="0.2">
      <c r="G83" s="83"/>
      <c r="H83" s="83"/>
      <c r="I83" s="133"/>
      <c r="J83" s="82"/>
      <c r="K83" s="82"/>
      <c r="L83" s="82"/>
      <c r="X83" s="79"/>
      <c r="Y83" s="4"/>
      <c r="Z83" s="4"/>
      <c r="AH83" s="23"/>
      <c r="AJ83" s="82"/>
    </row>
    <row r="84" spans="1:43" x14ac:dyDescent="0.2">
      <c r="A84" s="226" t="s">
        <v>1142</v>
      </c>
      <c r="G84" s="83">
        <f>SUM(G52:G83)</f>
        <v>524093</v>
      </c>
      <c r="H84" s="83">
        <f>SUM(H52:H83)</f>
        <v>415084.4</v>
      </c>
      <c r="I84" s="133">
        <f t="shared" ref="I84:I85" si="15">ROUND((H84/G84),4)</f>
        <v>0.79200000000000004</v>
      </c>
      <c r="J84" s="83">
        <f>SUM(J52:J83)</f>
        <v>23245.77</v>
      </c>
      <c r="K84" s="83">
        <f t="shared" ref="K84:W84" si="16">SUM(K52:K83)</f>
        <v>27854.429999999997</v>
      </c>
      <c r="L84" s="83">
        <f t="shared" si="16"/>
        <v>36545.29</v>
      </c>
      <c r="M84" s="83">
        <f t="shared" si="16"/>
        <v>26545.289999999997</v>
      </c>
      <c r="N84" s="83">
        <f t="shared" si="16"/>
        <v>28545.289999999997</v>
      </c>
      <c r="O84" s="83">
        <f t="shared" si="16"/>
        <v>32582.289999999997</v>
      </c>
      <c r="P84" s="83">
        <f t="shared" si="16"/>
        <v>32669.289999999997</v>
      </c>
      <c r="Q84" s="83">
        <f t="shared" si="16"/>
        <v>34875.29</v>
      </c>
      <c r="R84" s="83">
        <f t="shared" si="16"/>
        <v>30548.91</v>
      </c>
      <c r="S84" s="4">
        <f t="shared" si="16"/>
        <v>52904.670000000006</v>
      </c>
      <c r="T84" s="4">
        <f t="shared" si="16"/>
        <v>27350.19</v>
      </c>
      <c r="U84" s="4">
        <f t="shared" si="16"/>
        <v>50417.69000000001</v>
      </c>
      <c r="V84" s="77"/>
      <c r="W84" s="82">
        <f t="shared" si="16"/>
        <v>109008.6</v>
      </c>
      <c r="X84" s="79"/>
      <c r="Y84" s="4"/>
      <c r="Z84" s="4"/>
      <c r="AA84" s="83">
        <f>SUM(AA52:AA83)</f>
        <v>11000</v>
      </c>
      <c r="AB84" s="83">
        <f t="shared" ref="AB84:AC84" si="17">SUM(AB52:AB83)</f>
        <v>0</v>
      </c>
      <c r="AC84" s="83">
        <f t="shared" si="17"/>
        <v>0</v>
      </c>
      <c r="AD84" s="4"/>
      <c r="AH84" s="23">
        <f>SUM(AH52:AH83)</f>
        <v>394681.43000000005</v>
      </c>
      <c r="AJ84" s="23">
        <f t="shared" si="12"/>
        <v>20402.969999999972</v>
      </c>
      <c r="AM84" s="11">
        <f>SUM(J84:R84)+SUM(S85:U85)+SUM('2020 detail'!AA81:AC81)</f>
        <v>390579.36</v>
      </c>
      <c r="AN84" s="24">
        <f>ROUND((AM84/G84),4)</f>
        <v>0.74519999999999997</v>
      </c>
      <c r="AO84" s="24">
        <f>ROUND((SUM(J85:U85)/G85),4)</f>
        <v>0.74939999999999996</v>
      </c>
      <c r="AQ84" s="23">
        <f>SUM(AQ52:AQ83)</f>
        <v>52298.43</v>
      </c>
    </row>
    <row r="85" spans="1:43" x14ac:dyDescent="0.2">
      <c r="A85" s="253" t="s">
        <v>1056</v>
      </c>
      <c r="G85" s="206">
        <f>'2021 Detail'!G81</f>
        <v>524092</v>
      </c>
      <c r="H85" s="206">
        <f>SUM(J85:U85)+SUM(AA85:AC85)</f>
        <v>394993.43</v>
      </c>
      <c r="I85" s="207">
        <f t="shared" si="15"/>
        <v>0.75370000000000004</v>
      </c>
      <c r="J85" s="206">
        <f>'2021 Detail'!J81</f>
        <v>22836.629999999997</v>
      </c>
      <c r="K85" s="206">
        <f>'2021 Detail'!K81</f>
        <v>17090.189999999999</v>
      </c>
      <c r="L85" s="206">
        <f>'2021 Detail'!L81</f>
        <v>29166.7</v>
      </c>
      <c r="M85" s="206">
        <f>'2021 Detail'!M81</f>
        <v>34817.589999999997</v>
      </c>
      <c r="N85" s="206">
        <f>'2021 Detail'!N81</f>
        <v>35824.589999999997</v>
      </c>
      <c r="O85" s="206">
        <f>'2021 Detail'!O81</f>
        <v>33720.589999999997</v>
      </c>
      <c r="P85" s="206">
        <f>'2021 Detail'!P81</f>
        <v>30735.529999999995</v>
      </c>
      <c r="Q85" s="206">
        <f>'2021 Detail'!Q81</f>
        <v>39720.589999999997</v>
      </c>
      <c r="R85" s="206">
        <f>'2021 Detail'!R81</f>
        <v>31650.67</v>
      </c>
      <c r="S85" s="206">
        <f>'2021 Detail'!S81</f>
        <v>29321.59</v>
      </c>
      <c r="T85" s="206">
        <f>'2021 Detail'!T81</f>
        <v>35547.49</v>
      </c>
      <c r="U85" s="206">
        <f>'2021 Detail'!U81</f>
        <v>52298.43</v>
      </c>
      <c r="V85" s="206"/>
      <c r="W85" s="206"/>
      <c r="X85" s="206"/>
      <c r="Y85" s="4"/>
      <c r="Z85" s="4"/>
      <c r="AA85" s="206">
        <f>'2021 Detail'!AA81</f>
        <v>1950.84</v>
      </c>
      <c r="AB85" s="206">
        <f>'2021 Detail'!AB81</f>
        <v>312</v>
      </c>
      <c r="AC85" s="206">
        <f>'2021 Detail'!AC81</f>
        <v>0</v>
      </c>
      <c r="AJ85" s="23"/>
    </row>
    <row r="86" spans="1:43" x14ac:dyDescent="0.2">
      <c r="X86" s="79"/>
      <c r="Y86" s="4"/>
      <c r="Z86" s="4"/>
      <c r="AJ86" s="23"/>
    </row>
    <row r="87" spans="1:43" x14ac:dyDescent="0.2">
      <c r="A87" s="226" t="str">
        <f t="shared" ref="A87:U87" si="18">A$510</f>
        <v>Diocesan Total 2022</v>
      </c>
      <c r="B87" s="226">
        <f t="shared" si="18"/>
        <v>0</v>
      </c>
      <c r="C87" s="226">
        <f t="shared" si="18"/>
        <v>0</v>
      </c>
      <c r="D87" s="258">
        <f t="shared" si="18"/>
        <v>0</v>
      </c>
      <c r="E87" s="226">
        <f t="shared" si="18"/>
        <v>0</v>
      </c>
      <c r="F87" s="226">
        <f t="shared" si="18"/>
        <v>0</v>
      </c>
      <c r="G87" s="83">
        <f t="shared" si="18"/>
        <v>8116012</v>
      </c>
      <c r="H87" s="83">
        <f t="shared" si="18"/>
        <v>6559332.3399999999</v>
      </c>
      <c r="I87" s="133">
        <f t="shared" si="18"/>
        <v>0.80820000000000003</v>
      </c>
      <c r="J87" s="83">
        <f t="shared" si="18"/>
        <v>378351.23</v>
      </c>
      <c r="K87" s="83">
        <f t="shared" si="18"/>
        <v>449442.02</v>
      </c>
      <c r="L87" s="83">
        <f t="shared" si="18"/>
        <v>517036.34</v>
      </c>
      <c r="M87" s="83">
        <f t="shared" si="18"/>
        <v>434875.54000000004</v>
      </c>
      <c r="N87" s="83">
        <f t="shared" si="18"/>
        <v>497786.23</v>
      </c>
      <c r="O87" s="83">
        <f t="shared" si="18"/>
        <v>599586.94000000006</v>
      </c>
      <c r="P87" s="83">
        <f t="shared" si="18"/>
        <v>498701.35</v>
      </c>
      <c r="Q87" s="83">
        <f t="shared" si="18"/>
        <v>538018.41999999993</v>
      </c>
      <c r="R87" s="83">
        <f t="shared" si="18"/>
        <v>551902.79</v>
      </c>
      <c r="S87" s="4">
        <f t="shared" si="18"/>
        <v>564217.18000000005</v>
      </c>
      <c r="T87" s="4">
        <f t="shared" si="18"/>
        <v>646111.05000000005</v>
      </c>
      <c r="U87" s="4">
        <f t="shared" si="18"/>
        <v>737258.44</v>
      </c>
      <c r="V87" s="77"/>
      <c r="W87" s="82"/>
      <c r="X87" s="4"/>
      <c r="Y87" s="4"/>
      <c r="Z87" s="4"/>
      <c r="AA87" s="83"/>
      <c r="AB87" s="83"/>
      <c r="AC87" s="83"/>
      <c r="AD87" s="4"/>
      <c r="AH87" s="23">
        <f>AH$510</f>
        <v>6554125.29</v>
      </c>
      <c r="AJ87" s="23">
        <f>AJ$510</f>
        <v>5207.0499999998137</v>
      </c>
    </row>
    <row r="88" spans="1:43" x14ac:dyDescent="0.2">
      <c r="A88" s="253" t="str">
        <f t="shared" ref="A88:U88" si="19">A$511</f>
        <v>Diocesan Total 2021</v>
      </c>
      <c r="B88" s="253">
        <f t="shared" si="19"/>
        <v>0</v>
      </c>
      <c r="C88" s="253">
        <f t="shared" si="19"/>
        <v>0</v>
      </c>
      <c r="D88" s="259">
        <f t="shared" si="19"/>
        <v>0</v>
      </c>
      <c r="E88" s="253">
        <f t="shared" si="19"/>
        <v>0</v>
      </c>
      <c r="F88" s="253">
        <f t="shared" si="19"/>
        <v>0</v>
      </c>
      <c r="G88" s="206">
        <f t="shared" si="19"/>
        <v>8132853</v>
      </c>
      <c r="H88" s="206">
        <f t="shared" si="19"/>
        <v>6587993.7700000005</v>
      </c>
      <c r="I88" s="207">
        <f t="shared" si="19"/>
        <v>0.81</v>
      </c>
      <c r="J88" s="206">
        <f t="shared" si="19"/>
        <v>340336.86</v>
      </c>
      <c r="K88" s="206">
        <f t="shared" si="19"/>
        <v>407387.73</v>
      </c>
      <c r="L88" s="206">
        <f t="shared" si="19"/>
        <v>497955.59</v>
      </c>
      <c r="M88" s="206">
        <f t="shared" si="19"/>
        <v>513800.89999999997</v>
      </c>
      <c r="N88" s="206">
        <f t="shared" si="19"/>
        <v>483760.16000000003</v>
      </c>
      <c r="O88" s="206">
        <f t="shared" si="19"/>
        <v>527451.71000000008</v>
      </c>
      <c r="P88" s="206">
        <f t="shared" si="19"/>
        <v>582882.6100000001</v>
      </c>
      <c r="Q88" s="206">
        <f t="shared" si="19"/>
        <v>489302.35</v>
      </c>
      <c r="R88" s="206">
        <f t="shared" si="19"/>
        <v>548459.72</v>
      </c>
      <c r="S88" s="206">
        <f t="shared" si="19"/>
        <v>527708.16999999993</v>
      </c>
      <c r="T88" s="206">
        <f t="shared" si="19"/>
        <v>616975.80999999994</v>
      </c>
      <c r="U88" s="206">
        <f t="shared" si="19"/>
        <v>907302.59</v>
      </c>
      <c r="V88" s="206"/>
      <c r="W88" s="206"/>
      <c r="X88" s="206"/>
      <c r="Y88" s="4"/>
      <c r="Z88" s="4"/>
      <c r="AA88" s="206"/>
      <c r="AB88" s="206"/>
      <c r="AC88" s="206"/>
      <c r="AJ88" s="23"/>
    </row>
    <row r="89" spans="1:43" ht="15.75" x14ac:dyDescent="0.25">
      <c r="G89" s="196" t="s">
        <v>8</v>
      </c>
      <c r="X89" s="79"/>
      <c r="Y89" s="4"/>
      <c r="Z89" s="4"/>
      <c r="AH89" s="171" t="s">
        <v>1136</v>
      </c>
      <c r="AI89" s="172"/>
      <c r="AJ89" s="171" t="s">
        <v>1064</v>
      </c>
    </row>
    <row r="90" spans="1:43" x14ac:dyDescent="0.2">
      <c r="X90" s="79"/>
      <c r="Y90" s="4"/>
      <c r="Z90" s="4"/>
      <c r="AH90" s="171" t="s">
        <v>1137</v>
      </c>
      <c r="AI90" s="172"/>
      <c r="AJ90" s="171" t="s">
        <v>1138</v>
      </c>
    </row>
    <row r="91" spans="1:43" ht="16.5" x14ac:dyDescent="0.25">
      <c r="A91" s="250"/>
      <c r="B91" s="8"/>
      <c r="C91" s="8"/>
      <c r="E91" s="8"/>
      <c r="F91" s="8"/>
      <c r="G91" s="208" t="str">
        <f>$G$3</f>
        <v>2022 PARISH SHARE INFORMATION AS AT 31 DECEMBER 2022</v>
      </c>
      <c r="H91" s="209"/>
      <c r="W91" s="194"/>
      <c r="X91"/>
      <c r="Y91" s="4"/>
      <c r="Z91" s="4"/>
      <c r="AA91"/>
      <c r="AB91"/>
      <c r="AC91"/>
      <c r="AH91" s="172"/>
      <c r="AI91" s="172"/>
      <c r="AJ91" s="171" t="s">
        <v>1139</v>
      </c>
    </row>
    <row r="92" spans="1:43" x14ac:dyDescent="0.2">
      <c r="A92" s="250"/>
      <c r="G92" s="205"/>
      <c r="H92" s="197"/>
      <c r="W92" s="194"/>
      <c r="X92"/>
      <c r="Y92" s="4"/>
      <c r="Z92" s="4"/>
      <c r="AA92"/>
      <c r="AB92"/>
      <c r="AC92"/>
    </row>
    <row r="93" spans="1:43" ht="16.5" x14ac:dyDescent="0.25">
      <c r="A93" s="251" t="s">
        <v>1</v>
      </c>
      <c r="B93" s="151" t="str">
        <f>$B$5</f>
        <v>RM</v>
      </c>
      <c r="C93" s="151" t="str">
        <f>$C$5</f>
        <v>RF</v>
      </c>
      <c r="D93" s="151" t="str">
        <f>$D$5</f>
        <v>Accts</v>
      </c>
      <c r="E93" s="151"/>
      <c r="F93" s="151" t="str">
        <f>$F$5</f>
        <v>Share DD</v>
      </c>
      <c r="G93" s="210" t="str">
        <f>$G$5</f>
        <v xml:space="preserve">2022 Share </v>
      </c>
      <c r="H93" s="211" t="str">
        <f>$H$5</f>
        <v xml:space="preserve">2022 Paid </v>
      </c>
      <c r="I93" s="211" t="str">
        <f>$I$5</f>
        <v xml:space="preserve">% Paid </v>
      </c>
      <c r="J93" s="212">
        <f>$J$5</f>
        <v>44592</v>
      </c>
      <c r="K93" s="212">
        <f>$K$5</f>
        <v>44620</v>
      </c>
      <c r="L93" s="212">
        <f>$L$5</f>
        <v>44651</v>
      </c>
      <c r="M93" s="212">
        <f>$M$5</f>
        <v>44681</v>
      </c>
      <c r="N93" s="212">
        <f>$N$5</f>
        <v>44712</v>
      </c>
      <c r="O93" s="212">
        <f>$O$5</f>
        <v>44742</v>
      </c>
      <c r="P93" s="212">
        <f>$P$5</f>
        <v>44773</v>
      </c>
      <c r="Q93" s="212">
        <f>$Q$5</f>
        <v>44804</v>
      </c>
      <c r="R93" s="212">
        <f>$R$5</f>
        <v>44834</v>
      </c>
      <c r="S93" s="155">
        <f>$S$5</f>
        <v>44865</v>
      </c>
      <c r="T93" s="155">
        <f>$T$5</f>
        <v>44895</v>
      </c>
      <c r="U93" s="155">
        <f>$U$5</f>
        <v>44926</v>
      </c>
      <c r="V93" s="78"/>
      <c r="W93" s="195" t="str">
        <f>$W$5</f>
        <v xml:space="preserve">Outstanding </v>
      </c>
      <c r="X93" s="2"/>
      <c r="Y93" s="4"/>
      <c r="Z93" s="4"/>
      <c r="AA93" s="2">
        <f>$AA$5</f>
        <v>44957</v>
      </c>
      <c r="AB93" s="2">
        <f>$AB$5</f>
        <v>44985</v>
      </c>
      <c r="AC93" s="2">
        <f>$AC$5</f>
        <v>45016</v>
      </c>
      <c r="AE93" s="152" t="str">
        <f>$AE$5</f>
        <v>Benefice</v>
      </c>
      <c r="AH93" s="16" t="s">
        <v>1141</v>
      </c>
      <c r="AJ93" s="170" t="s">
        <v>1140</v>
      </c>
      <c r="AQ93" s="222">
        <f>AQ5</f>
        <v>44588</v>
      </c>
    </row>
    <row r="94" spans="1:43" ht="16.5" x14ac:dyDescent="0.25">
      <c r="A94" s="250"/>
      <c r="G94" s="201" t="s">
        <v>1040</v>
      </c>
      <c r="H94" s="202" t="s">
        <v>1040</v>
      </c>
      <c r="I94" s="203"/>
      <c r="J94" s="202" t="s">
        <v>1040</v>
      </c>
      <c r="K94" s="202" t="s">
        <v>1040</v>
      </c>
      <c r="L94" s="202" t="s">
        <v>1040</v>
      </c>
      <c r="M94" s="202" t="s">
        <v>1040</v>
      </c>
      <c r="N94" s="202" t="s">
        <v>1040</v>
      </c>
      <c r="O94" s="202" t="s">
        <v>1040</v>
      </c>
      <c r="P94" s="202" t="s">
        <v>1040</v>
      </c>
      <c r="Q94" s="202" t="s">
        <v>1040</v>
      </c>
      <c r="R94" s="202" t="s">
        <v>1040</v>
      </c>
      <c r="S94" s="147" t="s">
        <v>1040</v>
      </c>
      <c r="T94" s="147" t="s">
        <v>1040</v>
      </c>
      <c r="U94" s="147" t="s">
        <v>1040</v>
      </c>
      <c r="W94" s="194"/>
      <c r="X94"/>
      <c r="Y94" s="4"/>
      <c r="Z94" s="4"/>
      <c r="AA94"/>
      <c r="AB94"/>
      <c r="AC94"/>
      <c r="AJ94" s="23"/>
    </row>
    <row r="95" spans="1:43" x14ac:dyDescent="0.2">
      <c r="X95" s="79"/>
      <c r="Y95" s="4"/>
      <c r="Z95" s="4"/>
      <c r="AJ95" s="23"/>
    </row>
    <row r="96" spans="1:43" x14ac:dyDescent="0.2">
      <c r="A96" s="226" t="s">
        <v>78</v>
      </c>
      <c r="B96" s="9" t="s">
        <v>495</v>
      </c>
      <c r="C96" s="9" t="s">
        <v>495</v>
      </c>
      <c r="D96" s="9" t="s">
        <v>495</v>
      </c>
      <c r="E96" s="9"/>
      <c r="F96" s="9">
        <v>0</v>
      </c>
      <c r="G96" s="83">
        <v>17298</v>
      </c>
      <c r="H96" s="83">
        <f t="shared" ref="H96:H120" si="20">SUM(J96:U96)+SUM(AA96:AC96)</f>
        <v>18681</v>
      </c>
      <c r="I96" s="133">
        <f t="shared" ref="I96:I120" si="21">ROUND((H96/G96),4)</f>
        <v>1.08</v>
      </c>
      <c r="J96" s="82">
        <v>700</v>
      </c>
      <c r="K96" s="82">
        <v>700</v>
      </c>
      <c r="L96" s="82">
        <v>700</v>
      </c>
      <c r="M96" s="82">
        <v>2924.5</v>
      </c>
      <c r="N96" s="82">
        <v>700</v>
      </c>
      <c r="O96" s="82">
        <v>700</v>
      </c>
      <c r="P96" s="82">
        <v>700</v>
      </c>
      <c r="Q96" s="82">
        <v>3666</v>
      </c>
      <c r="R96" s="82">
        <v>700</v>
      </c>
      <c r="S96" s="23">
        <v>700</v>
      </c>
      <c r="T96" s="23">
        <v>700</v>
      </c>
      <c r="U96" s="23">
        <v>4407.5</v>
      </c>
      <c r="V96" s="79" t="s">
        <v>557</v>
      </c>
      <c r="W96" s="82">
        <f t="shared" ref="W96:W120" si="22">G96-H96</f>
        <v>-1383</v>
      </c>
      <c r="X96" s="79"/>
      <c r="Y96" s="4"/>
      <c r="Z96" s="4"/>
      <c r="AA96" s="82">
        <v>1383</v>
      </c>
      <c r="AB96" s="82"/>
      <c r="AC96" s="82"/>
      <c r="AD96" s="23"/>
      <c r="AE96" s="7" t="s">
        <v>394</v>
      </c>
      <c r="AH96" s="23">
        <f>SUM('2021 Detail'!J91:U91)+SUM('2021 Detail'!AA91)</f>
        <v>17298</v>
      </c>
      <c r="AJ96" s="23">
        <f t="shared" ref="AJ96:AJ159" si="23">H96-AH96</f>
        <v>1383</v>
      </c>
      <c r="AL96" t="str">
        <f t="shared" ref="AL96:AL120" si="24">IF(AJ96&lt;0,"Down",IF(AJ96&gt;0,"Up","Same"))</f>
        <v>Up</v>
      </c>
      <c r="AQ96" s="23">
        <v>1441.5</v>
      </c>
    </row>
    <row r="97" spans="1:43" x14ac:dyDescent="0.2">
      <c r="A97" s="226" t="s">
        <v>79</v>
      </c>
      <c r="B97" s="9" t="s">
        <v>495</v>
      </c>
      <c r="C97" s="9">
        <v>0</v>
      </c>
      <c r="D97" s="9" t="s">
        <v>495</v>
      </c>
      <c r="E97" s="9"/>
      <c r="F97" s="9">
        <v>0</v>
      </c>
      <c r="G97" s="83">
        <v>14646</v>
      </c>
      <c r="H97" s="83">
        <f t="shared" si="20"/>
        <v>14646</v>
      </c>
      <c r="I97" s="133">
        <f t="shared" si="21"/>
        <v>1</v>
      </c>
      <c r="J97" s="82">
        <v>750</v>
      </c>
      <c r="K97" s="82">
        <v>750</v>
      </c>
      <c r="L97" s="82">
        <v>750</v>
      </c>
      <c r="M97" s="82">
        <v>750</v>
      </c>
      <c r="N97" s="82">
        <v>750</v>
      </c>
      <c r="O97" s="82">
        <v>750</v>
      </c>
      <c r="P97" s="82">
        <v>750</v>
      </c>
      <c r="Q97" s="82">
        <v>750</v>
      </c>
      <c r="R97" s="82">
        <v>750</v>
      </c>
      <c r="S97" s="23">
        <v>750</v>
      </c>
      <c r="T97" s="23">
        <v>750</v>
      </c>
      <c r="U97" s="23">
        <f>750+5646</f>
        <v>6396</v>
      </c>
      <c r="V97" s="79" t="s">
        <v>558</v>
      </c>
      <c r="W97" s="82">
        <f t="shared" si="22"/>
        <v>0</v>
      </c>
      <c r="X97" s="79"/>
      <c r="Y97" s="4"/>
      <c r="Z97" s="4"/>
      <c r="AA97" s="82"/>
      <c r="AB97" s="82"/>
      <c r="AC97" s="82"/>
      <c r="AD97" s="23"/>
      <c r="AE97" s="7" t="s">
        <v>394</v>
      </c>
      <c r="AH97" s="23">
        <f>SUM('2021 Detail'!J92:U92)+SUM('2021 Detail'!AA92)</f>
        <v>14646</v>
      </c>
      <c r="AJ97" s="23">
        <f t="shared" si="23"/>
        <v>0</v>
      </c>
      <c r="AL97" t="str">
        <f t="shared" si="24"/>
        <v>Same</v>
      </c>
      <c r="AQ97" s="23">
        <v>6084</v>
      </c>
    </row>
    <row r="98" spans="1:43" x14ac:dyDescent="0.2">
      <c r="A98" s="226" t="s">
        <v>80</v>
      </c>
      <c r="B98" s="9" t="s">
        <v>495</v>
      </c>
      <c r="C98" s="9" t="s">
        <v>495</v>
      </c>
      <c r="D98" s="9" t="s">
        <v>495</v>
      </c>
      <c r="E98" s="9"/>
      <c r="F98" s="9" t="s">
        <v>495</v>
      </c>
      <c r="G98" s="83">
        <v>27226</v>
      </c>
      <c r="H98" s="83">
        <f t="shared" si="20"/>
        <v>4689.7</v>
      </c>
      <c r="I98" s="133">
        <f t="shared" si="21"/>
        <v>0.17230000000000001</v>
      </c>
      <c r="J98" s="82">
        <v>0</v>
      </c>
      <c r="K98" s="82"/>
      <c r="L98" s="82">
        <v>2344.85</v>
      </c>
      <c r="M98" s="82"/>
      <c r="N98" s="82"/>
      <c r="O98" s="82"/>
      <c r="P98" s="82"/>
      <c r="Q98" s="82"/>
      <c r="R98" s="82"/>
      <c r="S98" s="23"/>
      <c r="T98" s="23"/>
      <c r="U98" s="23">
        <v>2344.85</v>
      </c>
      <c r="V98" s="79" t="s">
        <v>559</v>
      </c>
      <c r="W98" s="82">
        <f t="shared" si="22"/>
        <v>22536.3</v>
      </c>
      <c r="X98" s="79"/>
      <c r="Y98" s="4"/>
      <c r="Z98" s="4"/>
      <c r="AA98" s="82"/>
      <c r="AB98" s="82"/>
      <c r="AC98" s="82"/>
      <c r="AD98" s="23"/>
      <c r="AE98" s="7" t="s">
        <v>1200</v>
      </c>
      <c r="AH98" s="23">
        <f>SUM('2021 Detail'!J93:U93)+SUM('2021 Detail'!AA93)</f>
        <v>9379.4</v>
      </c>
      <c r="AJ98" s="23">
        <f t="shared" si="23"/>
        <v>-4689.7</v>
      </c>
      <c r="AL98" t="str">
        <f t="shared" si="24"/>
        <v>Down</v>
      </c>
    </row>
    <row r="99" spans="1:43" x14ac:dyDescent="0.2">
      <c r="A99" s="226" t="s">
        <v>81</v>
      </c>
      <c r="B99" s="9" t="s">
        <v>495</v>
      </c>
      <c r="C99" s="9" t="s">
        <v>495</v>
      </c>
      <c r="D99" s="9">
        <v>0</v>
      </c>
      <c r="E99" s="9"/>
      <c r="F99" s="9">
        <v>0</v>
      </c>
      <c r="G99" s="83">
        <v>27227</v>
      </c>
      <c r="H99" s="83">
        <f t="shared" si="20"/>
        <v>8000</v>
      </c>
      <c r="I99" s="133">
        <f t="shared" si="21"/>
        <v>0.29380000000000001</v>
      </c>
      <c r="J99" s="82">
        <v>0</v>
      </c>
      <c r="K99" s="82">
        <v>2000</v>
      </c>
      <c r="L99" s="82"/>
      <c r="M99" s="82"/>
      <c r="N99" s="82"/>
      <c r="O99" s="82">
        <v>2000</v>
      </c>
      <c r="P99" s="82"/>
      <c r="Q99" s="82"/>
      <c r="R99" s="82"/>
      <c r="S99" s="23">
        <v>2000</v>
      </c>
      <c r="T99" s="23"/>
      <c r="U99" s="23">
        <v>2000</v>
      </c>
      <c r="V99" s="79" t="s">
        <v>560</v>
      </c>
      <c r="W99" s="82">
        <f t="shared" si="22"/>
        <v>19227</v>
      </c>
      <c r="X99" s="79"/>
      <c r="Y99" s="4"/>
      <c r="Z99" s="4"/>
      <c r="AA99" s="82"/>
      <c r="AB99" s="82"/>
      <c r="AC99" s="82"/>
      <c r="AD99" s="23"/>
      <c r="AE99" s="7" t="s">
        <v>1200</v>
      </c>
      <c r="AH99" s="23">
        <f>SUM('2021 Detail'!J94:U94)+SUM('2021 Detail'!AA94)</f>
        <v>4000</v>
      </c>
      <c r="AJ99" s="23">
        <f t="shared" si="23"/>
        <v>4000</v>
      </c>
      <c r="AL99" t="str">
        <f t="shared" si="24"/>
        <v>Up</v>
      </c>
    </row>
    <row r="100" spans="1:43" x14ac:dyDescent="0.2">
      <c r="A100" s="226" t="s">
        <v>82</v>
      </c>
      <c r="B100" s="9" t="s">
        <v>495</v>
      </c>
      <c r="C100" s="9" t="s">
        <v>495</v>
      </c>
      <c r="D100" s="9">
        <v>0</v>
      </c>
      <c r="E100" s="9"/>
      <c r="F100" s="9">
        <v>0</v>
      </c>
      <c r="G100" s="83">
        <v>45546</v>
      </c>
      <c r="H100" s="83">
        <f t="shared" si="20"/>
        <v>45546</v>
      </c>
      <c r="I100" s="133">
        <f t="shared" si="21"/>
        <v>1</v>
      </c>
      <c r="J100" s="82">
        <v>3795.49</v>
      </c>
      <c r="K100" s="82">
        <v>3795.51</v>
      </c>
      <c r="L100" s="82">
        <v>3795.5</v>
      </c>
      <c r="M100" s="82">
        <v>3795.5</v>
      </c>
      <c r="N100" s="82">
        <v>3795.5</v>
      </c>
      <c r="O100" s="82">
        <v>3795.5</v>
      </c>
      <c r="P100" s="82">
        <v>3795.5</v>
      </c>
      <c r="Q100" s="82">
        <v>3795.5</v>
      </c>
      <c r="R100" s="82">
        <v>3795.5</v>
      </c>
      <c r="S100" s="23">
        <v>3795.5</v>
      </c>
      <c r="T100" s="23">
        <v>3795.5</v>
      </c>
      <c r="U100" s="23">
        <v>3795.5</v>
      </c>
      <c r="V100" s="79" t="s">
        <v>561</v>
      </c>
      <c r="W100" s="82">
        <f t="shared" si="22"/>
        <v>0</v>
      </c>
      <c r="X100" s="79"/>
      <c r="Y100" s="4"/>
      <c r="Z100" s="4"/>
      <c r="AA100" s="82"/>
      <c r="AB100" s="82"/>
      <c r="AC100" s="82"/>
      <c r="AD100" s="23"/>
      <c r="AE100" s="7" t="s">
        <v>1199</v>
      </c>
      <c r="AH100" s="23">
        <f>SUM('2021 Detail'!J95:U95)+SUM('2021 Detail'!AA95)</f>
        <v>45545</v>
      </c>
      <c r="AJ100" s="23">
        <f t="shared" si="23"/>
        <v>1</v>
      </c>
      <c r="AL100" t="str">
        <f t="shared" si="24"/>
        <v>Up</v>
      </c>
      <c r="AQ100" s="23">
        <v>3795.41</v>
      </c>
    </row>
    <row r="101" spans="1:43" x14ac:dyDescent="0.2">
      <c r="A101" s="226" t="s">
        <v>83</v>
      </c>
      <c r="B101" s="9" t="s">
        <v>495</v>
      </c>
      <c r="C101" s="9">
        <v>0</v>
      </c>
      <c r="D101" s="9">
        <v>0</v>
      </c>
      <c r="E101" s="9"/>
      <c r="F101" s="9">
        <v>0</v>
      </c>
      <c r="G101" s="83">
        <v>33621</v>
      </c>
      <c r="H101" s="83">
        <f t="shared" si="20"/>
        <v>20749</v>
      </c>
      <c r="I101" s="133">
        <f t="shared" si="21"/>
        <v>0.61709999999999998</v>
      </c>
      <c r="J101" s="82">
        <v>1000</v>
      </c>
      <c r="K101" s="82">
        <v>1000</v>
      </c>
      <c r="L101" s="82">
        <v>1000</v>
      </c>
      <c r="M101" s="82">
        <v>1000</v>
      </c>
      <c r="N101" s="82">
        <v>1000</v>
      </c>
      <c r="O101" s="82">
        <v>1000</v>
      </c>
      <c r="P101" s="82">
        <v>1000</v>
      </c>
      <c r="Q101" s="82">
        <v>1000</v>
      </c>
      <c r="R101" s="82">
        <v>1000</v>
      </c>
      <c r="S101" s="23">
        <v>1000</v>
      </c>
      <c r="T101" s="23">
        <v>1000</v>
      </c>
      <c r="U101" s="23">
        <v>9749</v>
      </c>
      <c r="V101" s="79" t="s">
        <v>562</v>
      </c>
      <c r="W101" s="82">
        <f t="shared" si="22"/>
        <v>12872</v>
      </c>
      <c r="X101" s="79"/>
      <c r="Y101" s="4"/>
      <c r="Z101" s="4"/>
      <c r="AA101" s="82"/>
      <c r="AB101" s="82"/>
      <c r="AC101" s="82"/>
      <c r="AD101" s="23"/>
      <c r="AE101" s="7" t="s">
        <v>395</v>
      </c>
      <c r="AH101" s="23">
        <f>SUM('2021 Detail'!J96:U96)+SUM('2021 Detail'!AA96)</f>
        <v>18380.98</v>
      </c>
      <c r="AJ101" s="23">
        <f t="shared" si="23"/>
        <v>2368.0200000000004</v>
      </c>
      <c r="AL101" t="str">
        <f t="shared" si="24"/>
        <v>Up</v>
      </c>
      <c r="AQ101" s="23">
        <v>7380.98</v>
      </c>
    </row>
    <row r="102" spans="1:43" x14ac:dyDescent="0.2">
      <c r="A102" s="226" t="s">
        <v>85</v>
      </c>
      <c r="B102" s="9" t="s">
        <v>495</v>
      </c>
      <c r="C102" s="9" t="s">
        <v>495</v>
      </c>
      <c r="D102" s="9">
        <v>0</v>
      </c>
      <c r="E102" s="9"/>
      <c r="F102" s="9" t="s">
        <v>495</v>
      </c>
      <c r="G102" s="83">
        <v>10667</v>
      </c>
      <c r="H102" s="83">
        <f t="shared" si="20"/>
        <v>9284</v>
      </c>
      <c r="I102" s="133">
        <f t="shared" si="21"/>
        <v>0.87029999999999996</v>
      </c>
      <c r="J102" s="82">
        <v>0</v>
      </c>
      <c r="K102" s="82"/>
      <c r="L102" s="82"/>
      <c r="M102" s="82">
        <v>2321</v>
      </c>
      <c r="N102" s="82"/>
      <c r="O102" s="82"/>
      <c r="P102" s="82"/>
      <c r="Q102" s="82">
        <v>2321</v>
      </c>
      <c r="R102" s="82"/>
      <c r="S102" s="23"/>
      <c r="T102" s="23">
        <v>2321</v>
      </c>
      <c r="U102" s="23">
        <v>2321</v>
      </c>
      <c r="V102" s="79" t="s">
        <v>564</v>
      </c>
      <c r="W102" s="82">
        <f t="shared" si="22"/>
        <v>1383</v>
      </c>
      <c r="X102" s="79"/>
      <c r="Y102" s="4"/>
      <c r="Z102" s="4"/>
      <c r="AA102" s="82"/>
      <c r="AB102" s="82"/>
      <c r="AC102" s="82"/>
      <c r="AD102" s="23"/>
      <c r="AE102" s="7" t="s">
        <v>394</v>
      </c>
      <c r="AH102" s="23">
        <f>SUM('2021 Detail'!J98:U98)+SUM('2021 Detail'!AA98)</f>
        <v>6188</v>
      </c>
      <c r="AJ102" s="23">
        <f t="shared" si="23"/>
        <v>3096</v>
      </c>
      <c r="AL102" t="str">
        <f t="shared" si="24"/>
        <v>Up</v>
      </c>
    </row>
    <row r="103" spans="1:43" x14ac:dyDescent="0.2">
      <c r="A103" s="226" t="s">
        <v>86</v>
      </c>
      <c r="B103" s="9" t="s">
        <v>495</v>
      </c>
      <c r="C103" s="9" t="s">
        <v>495</v>
      </c>
      <c r="D103" s="9" t="s">
        <v>495</v>
      </c>
      <c r="E103" s="9"/>
      <c r="F103" s="9">
        <v>0</v>
      </c>
      <c r="G103" s="83">
        <v>10383</v>
      </c>
      <c r="H103" s="83">
        <f t="shared" si="20"/>
        <v>10383</v>
      </c>
      <c r="I103" s="133">
        <f t="shared" si="21"/>
        <v>1</v>
      </c>
      <c r="J103" s="82">
        <v>100</v>
      </c>
      <c r="K103" s="82">
        <v>100</v>
      </c>
      <c r="L103" s="82">
        <v>100</v>
      </c>
      <c r="M103" s="82">
        <v>100</v>
      </c>
      <c r="N103" s="82">
        <v>2100</v>
      </c>
      <c r="O103" s="82">
        <v>100</v>
      </c>
      <c r="P103" s="82">
        <v>100</v>
      </c>
      <c r="Q103" s="82">
        <v>3100</v>
      </c>
      <c r="R103" s="82">
        <v>100</v>
      </c>
      <c r="S103" s="23">
        <v>100</v>
      </c>
      <c r="T103" s="23">
        <v>100</v>
      </c>
      <c r="U103" s="23">
        <v>4283</v>
      </c>
      <c r="V103" s="79" t="s">
        <v>565</v>
      </c>
      <c r="W103" s="82">
        <f t="shared" si="22"/>
        <v>0</v>
      </c>
      <c r="X103" s="79"/>
      <c r="Y103" s="4"/>
      <c r="Z103" s="4"/>
      <c r="AA103" s="82"/>
      <c r="AB103" s="82"/>
      <c r="AC103" s="82"/>
      <c r="AD103" s="23"/>
      <c r="AE103" s="7" t="s">
        <v>394</v>
      </c>
      <c r="AH103" s="23">
        <f>SUM('2021 Detail'!J99:U99)+SUM('2021 Detail'!AA99)</f>
        <v>10383</v>
      </c>
      <c r="AJ103" s="23">
        <f t="shared" si="23"/>
        <v>0</v>
      </c>
      <c r="AL103" t="str">
        <f t="shared" si="24"/>
        <v>Same</v>
      </c>
      <c r="AQ103" s="23">
        <v>3583</v>
      </c>
    </row>
    <row r="104" spans="1:43" x14ac:dyDescent="0.2">
      <c r="A104" s="226" t="s">
        <v>87</v>
      </c>
      <c r="B104" s="9">
        <v>0</v>
      </c>
      <c r="C104" s="9">
        <v>0</v>
      </c>
      <c r="D104" s="9">
        <v>0</v>
      </c>
      <c r="E104" s="9"/>
      <c r="F104" s="9">
        <v>0</v>
      </c>
      <c r="G104" s="83">
        <v>13322</v>
      </c>
      <c r="H104" s="83">
        <f t="shared" si="20"/>
        <v>13322</v>
      </c>
      <c r="I104" s="133">
        <f t="shared" si="21"/>
        <v>1</v>
      </c>
      <c r="J104" s="82">
        <v>1110.24</v>
      </c>
      <c r="K104" s="82">
        <v>1110.1600000000001</v>
      </c>
      <c r="L104" s="82">
        <v>1110.1600000000001</v>
      </c>
      <c r="M104" s="82">
        <v>1110.1600000000001</v>
      </c>
      <c r="N104" s="82">
        <v>1110.1600000000001</v>
      </c>
      <c r="O104" s="82">
        <v>1110.1600000000001</v>
      </c>
      <c r="P104" s="82">
        <v>1110.1600000000001</v>
      </c>
      <c r="Q104" s="82">
        <v>1110.1600000000001</v>
      </c>
      <c r="R104" s="82">
        <v>1110.1600000000001</v>
      </c>
      <c r="S104" s="23">
        <v>1110.1600000000001</v>
      </c>
      <c r="T104" s="23">
        <v>1110.1600000000001</v>
      </c>
      <c r="U104" s="23">
        <v>1110.1600000000001</v>
      </c>
      <c r="V104" s="79" t="s">
        <v>566</v>
      </c>
      <c r="W104" s="82">
        <f t="shared" si="22"/>
        <v>0</v>
      </c>
      <c r="X104" s="79"/>
      <c r="Y104" s="4"/>
      <c r="Z104" s="4"/>
      <c r="AA104" s="82"/>
      <c r="AB104" s="82"/>
      <c r="AC104" s="82"/>
      <c r="AD104" s="23"/>
      <c r="AE104" s="7" t="s">
        <v>394</v>
      </c>
      <c r="AH104" s="23">
        <f>SUM('2021 Detail'!J100:U100)+SUM('2021 Detail'!AA100)</f>
        <v>13321.999999999998</v>
      </c>
      <c r="AJ104" s="23">
        <f t="shared" si="23"/>
        <v>0</v>
      </c>
      <c r="AL104" t="str">
        <f t="shared" si="24"/>
        <v>Same</v>
      </c>
      <c r="AQ104" s="23">
        <v>1120.4000000000001</v>
      </c>
    </row>
    <row r="105" spans="1:43" x14ac:dyDescent="0.2">
      <c r="A105" s="226" t="s">
        <v>88</v>
      </c>
      <c r="B105" s="9" t="s">
        <v>495</v>
      </c>
      <c r="C105" s="9" t="s">
        <v>495</v>
      </c>
      <c r="D105" s="9">
        <v>0</v>
      </c>
      <c r="E105" s="9"/>
      <c r="F105" s="9">
        <v>0</v>
      </c>
      <c r="G105" s="83">
        <v>51934</v>
      </c>
      <c r="H105" s="83">
        <f t="shared" si="20"/>
        <v>51934</v>
      </c>
      <c r="I105" s="133">
        <f t="shared" si="21"/>
        <v>1</v>
      </c>
      <c r="J105" s="82">
        <v>4500</v>
      </c>
      <c r="K105" s="82"/>
      <c r="L105" s="82">
        <v>9000</v>
      </c>
      <c r="M105" s="82">
        <v>4500</v>
      </c>
      <c r="N105" s="82">
        <v>4500</v>
      </c>
      <c r="O105" s="82">
        <v>4500</v>
      </c>
      <c r="P105" s="82">
        <v>4500</v>
      </c>
      <c r="Q105" s="82">
        <v>4500</v>
      </c>
      <c r="R105" s="82">
        <v>4500</v>
      </c>
      <c r="S105" s="23">
        <v>4500</v>
      </c>
      <c r="T105" s="23">
        <v>6934</v>
      </c>
      <c r="U105" s="23"/>
      <c r="V105" s="79" t="s">
        <v>567</v>
      </c>
      <c r="W105" s="82">
        <f t="shared" si="22"/>
        <v>0</v>
      </c>
      <c r="X105" s="79"/>
      <c r="Y105" s="4"/>
      <c r="Z105" s="4"/>
      <c r="AA105" s="82"/>
      <c r="AB105" s="82"/>
      <c r="AC105" s="82"/>
      <c r="AD105" s="23"/>
      <c r="AE105" s="7" t="s">
        <v>396</v>
      </c>
      <c r="AH105" s="23">
        <f>SUM('2021 Detail'!J101:U101)+SUM('2021 Detail'!AA101)</f>
        <v>51935</v>
      </c>
      <c r="AJ105" s="23">
        <f t="shared" si="23"/>
        <v>-1</v>
      </c>
      <c r="AL105" t="str">
        <f t="shared" si="24"/>
        <v>Down</v>
      </c>
    </row>
    <row r="106" spans="1:43" x14ac:dyDescent="0.2">
      <c r="A106" s="226" t="s">
        <v>90</v>
      </c>
      <c r="B106" s="9" t="s">
        <v>495</v>
      </c>
      <c r="C106" s="9">
        <v>0</v>
      </c>
      <c r="D106" s="9">
        <v>0</v>
      </c>
      <c r="E106" s="9"/>
      <c r="F106" s="9" t="s">
        <v>495</v>
      </c>
      <c r="G106" s="83">
        <v>22788</v>
      </c>
      <c r="H106" s="83">
        <f t="shared" si="20"/>
        <v>22788</v>
      </c>
      <c r="I106" s="133">
        <f t="shared" si="21"/>
        <v>1</v>
      </c>
      <c r="J106" s="82">
        <v>0</v>
      </c>
      <c r="K106" s="82"/>
      <c r="L106" s="82">
        <v>5697</v>
      </c>
      <c r="M106" s="82"/>
      <c r="N106" s="82">
        <v>3877</v>
      </c>
      <c r="O106" s="82"/>
      <c r="P106" s="82"/>
      <c r="Q106" s="82"/>
      <c r="R106" s="82">
        <v>7517</v>
      </c>
      <c r="S106" s="23"/>
      <c r="T106" s="23"/>
      <c r="U106" s="23"/>
      <c r="V106" s="79" t="s">
        <v>569</v>
      </c>
      <c r="W106" s="82">
        <f t="shared" si="22"/>
        <v>0</v>
      </c>
      <c r="X106" s="79"/>
      <c r="Y106" s="4"/>
      <c r="Z106" s="4"/>
      <c r="AA106" s="82"/>
      <c r="AB106" s="82">
        <v>5697</v>
      </c>
      <c r="AC106" s="82"/>
      <c r="AD106" s="23"/>
      <c r="AE106" s="7" t="s">
        <v>397</v>
      </c>
      <c r="AH106" s="23">
        <f>SUM('2021 Detail'!J103:U103)+SUM('2021 Detail'!AA103)</f>
        <v>22788</v>
      </c>
      <c r="AJ106" s="23">
        <f t="shared" si="23"/>
        <v>0</v>
      </c>
      <c r="AL106" t="str">
        <f t="shared" si="24"/>
        <v>Same</v>
      </c>
      <c r="AQ106" s="23">
        <v>5697</v>
      </c>
    </row>
    <row r="107" spans="1:43" x14ac:dyDescent="0.2">
      <c r="A107" s="226" t="s">
        <v>91</v>
      </c>
      <c r="B107" s="9" t="s">
        <v>495</v>
      </c>
      <c r="C107" s="9" t="s">
        <v>495</v>
      </c>
      <c r="D107" s="9" t="s">
        <v>495</v>
      </c>
      <c r="E107" s="9"/>
      <c r="F107" s="9">
        <v>0</v>
      </c>
      <c r="G107" s="83">
        <v>6833</v>
      </c>
      <c r="H107" s="83">
        <f t="shared" si="20"/>
        <v>6833.0000000000009</v>
      </c>
      <c r="I107" s="133">
        <f t="shared" si="21"/>
        <v>1</v>
      </c>
      <c r="J107" s="82">
        <v>683.3</v>
      </c>
      <c r="K107" s="82">
        <v>683.3</v>
      </c>
      <c r="L107" s="82">
        <v>683.3</v>
      </c>
      <c r="M107" s="82">
        <v>683.3</v>
      </c>
      <c r="N107" s="82">
        <v>683.3</v>
      </c>
      <c r="O107" s="82">
        <v>683.3</v>
      </c>
      <c r="P107" s="82">
        <v>683.3</v>
      </c>
      <c r="Q107" s="82">
        <v>683.3</v>
      </c>
      <c r="R107" s="82">
        <v>683.3</v>
      </c>
      <c r="S107" s="23">
        <v>683.3</v>
      </c>
      <c r="T107" s="23"/>
      <c r="U107" s="23"/>
      <c r="V107" s="79" t="s">
        <v>570</v>
      </c>
      <c r="W107" s="82">
        <f t="shared" si="22"/>
        <v>0</v>
      </c>
      <c r="X107" s="79"/>
      <c r="Y107" s="4"/>
      <c r="Z107" s="4"/>
      <c r="AA107" s="82"/>
      <c r="AB107" s="82"/>
      <c r="AC107" s="82"/>
      <c r="AD107" s="23"/>
      <c r="AE107" s="7" t="s">
        <v>398</v>
      </c>
      <c r="AH107" s="23">
        <f>SUM('2021 Detail'!J104:U104)+SUM('2021 Detail'!AA104)</f>
        <v>6833</v>
      </c>
      <c r="AJ107" s="23">
        <f t="shared" si="23"/>
        <v>0</v>
      </c>
      <c r="AL107" t="str">
        <f t="shared" si="24"/>
        <v>Same</v>
      </c>
      <c r="AQ107" s="23">
        <v>0</v>
      </c>
    </row>
    <row r="108" spans="1:43" x14ac:dyDescent="0.2">
      <c r="A108" s="226" t="s">
        <v>92</v>
      </c>
      <c r="B108" s="9">
        <v>0</v>
      </c>
      <c r="C108" s="9">
        <v>0</v>
      </c>
      <c r="D108" s="9">
        <v>0</v>
      </c>
      <c r="E108" s="9"/>
      <c r="F108" s="9" t="s">
        <v>495</v>
      </c>
      <c r="G108" s="83">
        <v>3387</v>
      </c>
      <c r="H108" s="83">
        <f t="shared" si="20"/>
        <v>2540.25</v>
      </c>
      <c r="I108" s="133">
        <f t="shared" si="21"/>
        <v>0.75</v>
      </c>
      <c r="J108" s="82">
        <v>282.25</v>
      </c>
      <c r="K108" s="82">
        <v>282.25</v>
      </c>
      <c r="L108" s="82">
        <v>282.25</v>
      </c>
      <c r="M108" s="82">
        <v>282.25</v>
      </c>
      <c r="N108" s="82">
        <v>282.25</v>
      </c>
      <c r="O108" s="82">
        <v>282.25</v>
      </c>
      <c r="P108" s="82">
        <v>282.25</v>
      </c>
      <c r="Q108" s="82">
        <v>282.25</v>
      </c>
      <c r="R108" s="82">
        <v>282.25</v>
      </c>
      <c r="S108" s="23">
        <v>0</v>
      </c>
      <c r="T108" s="23">
        <v>0</v>
      </c>
      <c r="U108" s="23"/>
      <c r="V108" s="79" t="s">
        <v>571</v>
      </c>
      <c r="W108" s="82">
        <f t="shared" si="22"/>
        <v>846.75</v>
      </c>
      <c r="X108" s="79"/>
      <c r="Y108" s="4"/>
      <c r="Z108" s="4"/>
      <c r="AA108" s="82"/>
      <c r="AB108" s="82"/>
      <c r="AC108" s="82"/>
      <c r="AD108" s="23"/>
      <c r="AE108" s="7" t="s">
        <v>397</v>
      </c>
      <c r="AH108" s="23">
        <f>SUM('2021 Detail'!J105:U105)+SUM('2021 Detail'!AA105)</f>
        <v>3387</v>
      </c>
      <c r="AJ108" s="23">
        <f t="shared" si="23"/>
        <v>-846.75</v>
      </c>
      <c r="AL108" t="str">
        <f t="shared" si="24"/>
        <v>Down</v>
      </c>
      <c r="AQ108" s="23">
        <v>282.25</v>
      </c>
    </row>
    <row r="109" spans="1:43" x14ac:dyDescent="0.2">
      <c r="A109" s="226" t="s">
        <v>93</v>
      </c>
      <c r="B109" s="9" t="s">
        <v>495</v>
      </c>
      <c r="C109" s="9" t="s">
        <v>495</v>
      </c>
      <c r="D109" s="9" t="s">
        <v>495</v>
      </c>
      <c r="E109" s="9"/>
      <c r="F109" s="9">
        <v>0</v>
      </c>
      <c r="G109" s="83">
        <v>19582</v>
      </c>
      <c r="H109" s="83">
        <f t="shared" si="20"/>
        <v>19582</v>
      </c>
      <c r="I109" s="133">
        <f t="shared" si="21"/>
        <v>1</v>
      </c>
      <c r="J109" s="82">
        <v>0</v>
      </c>
      <c r="K109" s="82">
        <v>3250</v>
      </c>
      <c r="L109" s="82"/>
      <c r="M109" s="82">
        <v>3250</v>
      </c>
      <c r="N109" s="82"/>
      <c r="O109" s="82">
        <v>3250</v>
      </c>
      <c r="P109" s="82"/>
      <c r="Q109" s="82">
        <v>3250</v>
      </c>
      <c r="R109" s="82"/>
      <c r="S109" s="23">
        <v>3250</v>
      </c>
      <c r="T109" s="23"/>
      <c r="U109" s="23">
        <v>3332</v>
      </c>
      <c r="V109" s="79" t="s">
        <v>572</v>
      </c>
      <c r="W109" s="82">
        <f t="shared" si="22"/>
        <v>0</v>
      </c>
      <c r="X109" s="79"/>
      <c r="Y109" s="4"/>
      <c r="Z109" s="4"/>
      <c r="AA109" s="82"/>
      <c r="AB109" s="82"/>
      <c r="AC109" s="82"/>
      <c r="AD109" s="23"/>
      <c r="AE109" s="7" t="s">
        <v>395</v>
      </c>
      <c r="AH109" s="23">
        <f>SUM('2021 Detail'!J106:U106)+SUM('2021 Detail'!AA106)</f>
        <v>15900</v>
      </c>
      <c r="AJ109" s="23">
        <f t="shared" si="23"/>
        <v>3682</v>
      </c>
      <c r="AL109" t="str">
        <f t="shared" si="24"/>
        <v>Up</v>
      </c>
    </row>
    <row r="110" spans="1:43" x14ac:dyDescent="0.2">
      <c r="A110" s="226" t="s">
        <v>94</v>
      </c>
      <c r="B110" s="9" t="s">
        <v>495</v>
      </c>
      <c r="C110" s="9" t="s">
        <v>495</v>
      </c>
      <c r="D110" s="9" t="s">
        <v>495</v>
      </c>
      <c r="E110" s="9"/>
      <c r="F110" s="9">
        <v>0</v>
      </c>
      <c r="G110" s="83">
        <v>22788</v>
      </c>
      <c r="H110" s="83">
        <f t="shared" si="20"/>
        <v>22788</v>
      </c>
      <c r="I110" s="133">
        <f t="shared" si="21"/>
        <v>1</v>
      </c>
      <c r="J110" s="82">
        <v>1899</v>
      </c>
      <c r="K110" s="82">
        <v>1899</v>
      </c>
      <c r="L110" s="82">
        <v>1899</v>
      </c>
      <c r="M110" s="82">
        <v>1899</v>
      </c>
      <c r="N110" s="82">
        <v>1899</v>
      </c>
      <c r="O110" s="82">
        <v>1899</v>
      </c>
      <c r="P110" s="82">
        <v>1899</v>
      </c>
      <c r="Q110" s="82">
        <v>1899</v>
      </c>
      <c r="R110" s="82">
        <v>899</v>
      </c>
      <c r="S110" s="23">
        <v>899</v>
      </c>
      <c r="T110" s="23">
        <v>3899</v>
      </c>
      <c r="U110" s="23">
        <v>1899</v>
      </c>
      <c r="V110" s="79" t="s">
        <v>573</v>
      </c>
      <c r="W110" s="82">
        <f t="shared" si="22"/>
        <v>0</v>
      </c>
      <c r="X110" s="79"/>
      <c r="Y110" s="4"/>
      <c r="Z110" s="4"/>
      <c r="AA110" s="82"/>
      <c r="AB110" s="82"/>
      <c r="AC110" s="82"/>
      <c r="AD110" s="23"/>
      <c r="AE110" s="7" t="s">
        <v>397</v>
      </c>
      <c r="AH110" s="23">
        <f>SUM('2021 Detail'!J107:U107)+SUM('2021 Detail'!AA107)</f>
        <v>22788</v>
      </c>
      <c r="AJ110" s="23">
        <f t="shared" si="23"/>
        <v>0</v>
      </c>
      <c r="AL110" t="str">
        <f t="shared" si="24"/>
        <v>Same</v>
      </c>
      <c r="AQ110" s="23">
        <v>1899</v>
      </c>
    </row>
    <row r="111" spans="1:43" x14ac:dyDescent="0.2">
      <c r="A111" s="226" t="s">
        <v>95</v>
      </c>
      <c r="B111" s="9" t="s">
        <v>495</v>
      </c>
      <c r="C111" s="9" t="s">
        <v>495</v>
      </c>
      <c r="D111" s="9">
        <v>0</v>
      </c>
      <c r="E111" s="9"/>
      <c r="F111" s="9">
        <v>0</v>
      </c>
      <c r="G111" s="83">
        <v>12627</v>
      </c>
      <c r="H111" s="83">
        <f t="shared" si="20"/>
        <v>12627</v>
      </c>
      <c r="I111" s="133">
        <f t="shared" si="21"/>
        <v>1</v>
      </c>
      <c r="J111" s="82">
        <v>0</v>
      </c>
      <c r="K111" s="82"/>
      <c r="L111" s="82"/>
      <c r="M111" s="82"/>
      <c r="N111" s="82"/>
      <c r="O111" s="82"/>
      <c r="P111" s="82"/>
      <c r="Q111" s="82"/>
      <c r="R111" s="82"/>
      <c r="S111" s="23"/>
      <c r="T111" s="23">
        <v>9000</v>
      </c>
      <c r="U111" s="23">
        <v>3627</v>
      </c>
      <c r="V111" s="79" t="s">
        <v>574</v>
      </c>
      <c r="W111" s="82">
        <f t="shared" si="22"/>
        <v>0</v>
      </c>
      <c r="X111" s="79"/>
      <c r="Y111" s="4"/>
      <c r="Z111" s="4"/>
      <c r="AA111" s="82"/>
      <c r="AB111" s="82"/>
      <c r="AC111" s="82"/>
      <c r="AD111" s="23"/>
      <c r="AE111" s="7" t="s">
        <v>397</v>
      </c>
      <c r="AH111" s="23">
        <f>SUM('2021 Detail'!J108:U108)+SUM('2021 Detail'!AA108)</f>
        <v>4500</v>
      </c>
      <c r="AJ111" s="23">
        <f t="shared" si="23"/>
        <v>8127</v>
      </c>
      <c r="AL111" t="str">
        <f t="shared" si="24"/>
        <v>Up</v>
      </c>
      <c r="AQ111" s="23">
        <v>4500</v>
      </c>
    </row>
    <row r="112" spans="1:43" x14ac:dyDescent="0.2">
      <c r="A112" s="226" t="s">
        <v>96</v>
      </c>
      <c r="B112" s="9" t="s">
        <v>495</v>
      </c>
      <c r="C112" s="9" t="s">
        <v>495</v>
      </c>
      <c r="D112" s="9" t="s">
        <v>495</v>
      </c>
      <c r="E112" s="9"/>
      <c r="F112" s="9" t="s">
        <v>495</v>
      </c>
      <c r="G112" s="83">
        <v>12562</v>
      </c>
      <c r="H112" s="83">
        <f t="shared" si="20"/>
        <v>9421.5</v>
      </c>
      <c r="I112" s="133">
        <f t="shared" si="21"/>
        <v>0.75</v>
      </c>
      <c r="J112" s="82">
        <v>0</v>
      </c>
      <c r="K112" s="82"/>
      <c r="L112" s="82"/>
      <c r="M112" s="82"/>
      <c r="N112" s="82"/>
      <c r="O112" s="82"/>
      <c r="P112" s="82"/>
      <c r="Q112" s="82"/>
      <c r="R112" s="82">
        <v>6281</v>
      </c>
      <c r="S112" s="23"/>
      <c r="T112" s="23"/>
      <c r="U112" s="23">
        <v>3140.5</v>
      </c>
      <c r="V112" s="79" t="s">
        <v>575</v>
      </c>
      <c r="W112" s="82">
        <f t="shared" si="22"/>
        <v>3140.5</v>
      </c>
      <c r="X112" s="79"/>
      <c r="Y112" s="4"/>
      <c r="Z112" s="4"/>
      <c r="AA112" s="82"/>
      <c r="AB112" s="82"/>
      <c r="AC112" s="82"/>
      <c r="AD112" s="23"/>
      <c r="AE112" s="7" t="s">
        <v>395</v>
      </c>
      <c r="AH112" s="23">
        <f>SUM('2021 Detail'!J109:U109)+SUM('2021 Detail'!AA109)</f>
        <v>6281</v>
      </c>
      <c r="AJ112" s="23">
        <f t="shared" si="23"/>
        <v>3140.5</v>
      </c>
      <c r="AL112" t="str">
        <f t="shared" si="24"/>
        <v>Up</v>
      </c>
    </row>
    <row r="113" spans="1:43" x14ac:dyDescent="0.2">
      <c r="A113" s="226" t="s">
        <v>97</v>
      </c>
      <c r="B113" s="9">
        <v>0</v>
      </c>
      <c r="C113" s="9" t="s">
        <v>495</v>
      </c>
      <c r="D113" s="9">
        <v>0</v>
      </c>
      <c r="E113" s="9"/>
      <c r="F113" s="9">
        <v>0</v>
      </c>
      <c r="G113" s="83">
        <v>8128</v>
      </c>
      <c r="H113" s="83">
        <f t="shared" si="20"/>
        <v>8128</v>
      </c>
      <c r="I113" s="133">
        <f t="shared" si="21"/>
        <v>1</v>
      </c>
      <c r="J113" s="82">
        <v>300</v>
      </c>
      <c r="K113" s="82">
        <v>300</v>
      </c>
      <c r="L113" s="82">
        <v>300</v>
      </c>
      <c r="M113" s="82">
        <v>300</v>
      </c>
      <c r="N113" s="82">
        <v>300</v>
      </c>
      <c r="O113" s="82">
        <v>300</v>
      </c>
      <c r="P113" s="82">
        <v>300</v>
      </c>
      <c r="Q113" s="82">
        <v>300</v>
      </c>
      <c r="R113" s="82">
        <v>300</v>
      </c>
      <c r="S113" s="23">
        <v>300</v>
      </c>
      <c r="T113" s="23">
        <v>300</v>
      </c>
      <c r="U113" s="23">
        <v>4828</v>
      </c>
      <c r="V113" s="79" t="s">
        <v>576</v>
      </c>
      <c r="W113" s="82">
        <f t="shared" si="22"/>
        <v>0</v>
      </c>
      <c r="X113" s="79"/>
      <c r="Y113" s="4"/>
      <c r="Z113" s="4"/>
      <c r="AA113" s="82"/>
      <c r="AB113" s="82"/>
      <c r="AC113" s="82"/>
      <c r="AD113" s="23"/>
      <c r="AE113" s="7" t="s">
        <v>395</v>
      </c>
      <c r="AH113" s="23">
        <f>SUM('2021 Detail'!J110:U110)+SUM('2021 Detail'!AA110)</f>
        <v>8128</v>
      </c>
      <c r="AJ113" s="23">
        <f t="shared" si="23"/>
        <v>0</v>
      </c>
      <c r="AL113" t="str">
        <f t="shared" si="24"/>
        <v>Same</v>
      </c>
      <c r="AQ113" s="23">
        <v>4828</v>
      </c>
    </row>
    <row r="114" spans="1:43" x14ac:dyDescent="0.2">
      <c r="A114" s="226" t="s">
        <v>98</v>
      </c>
      <c r="B114" s="9" t="s">
        <v>495</v>
      </c>
      <c r="C114" s="9" t="s">
        <v>495</v>
      </c>
      <c r="D114" s="9" t="s">
        <v>495</v>
      </c>
      <c r="E114" s="9"/>
      <c r="F114" s="9" t="s">
        <v>495</v>
      </c>
      <c r="G114" s="83">
        <v>11161</v>
      </c>
      <c r="H114" s="83">
        <f t="shared" si="20"/>
        <v>0</v>
      </c>
      <c r="I114" s="133">
        <f t="shared" si="21"/>
        <v>0</v>
      </c>
      <c r="J114" s="82">
        <v>0</v>
      </c>
      <c r="K114" s="82"/>
      <c r="L114" s="82"/>
      <c r="M114" s="82"/>
      <c r="N114" s="82"/>
      <c r="O114" s="82"/>
      <c r="P114" s="82"/>
      <c r="Q114" s="82"/>
      <c r="R114" s="82"/>
      <c r="S114" s="23"/>
      <c r="T114" s="23"/>
      <c r="U114" s="23"/>
      <c r="V114" s="79" t="s">
        <v>577</v>
      </c>
      <c r="W114" s="82">
        <f t="shared" si="22"/>
        <v>11161</v>
      </c>
      <c r="X114" s="79"/>
      <c r="Y114" s="4"/>
      <c r="Z114" s="4"/>
      <c r="AA114" s="82"/>
      <c r="AB114" s="82"/>
      <c r="AC114" s="82"/>
      <c r="AD114" s="23"/>
      <c r="AE114" s="7" t="s">
        <v>1201</v>
      </c>
      <c r="AH114" s="23">
        <f>SUM('2021 Detail'!J111:U111)+SUM('2021 Detail'!AA111)</f>
        <v>1860</v>
      </c>
      <c r="AJ114" s="23">
        <f t="shared" si="23"/>
        <v>-1860</v>
      </c>
      <c r="AL114" t="str">
        <f t="shared" si="24"/>
        <v>Down</v>
      </c>
    </row>
    <row r="115" spans="1:43" x14ac:dyDescent="0.2">
      <c r="A115" s="226" t="s">
        <v>99</v>
      </c>
      <c r="B115" s="9" t="s">
        <v>495</v>
      </c>
      <c r="C115" s="9" t="s">
        <v>495</v>
      </c>
      <c r="D115" s="9" t="s">
        <v>495</v>
      </c>
      <c r="E115" s="9"/>
      <c r="F115" s="9" t="s">
        <v>495</v>
      </c>
      <c r="G115" s="83">
        <v>8024</v>
      </c>
      <c r="H115" s="83">
        <f t="shared" si="20"/>
        <v>3000</v>
      </c>
      <c r="I115" s="133">
        <f t="shared" si="21"/>
        <v>0.37390000000000001</v>
      </c>
      <c r="J115" s="82">
        <v>0</v>
      </c>
      <c r="K115" s="82"/>
      <c r="L115" s="82"/>
      <c r="M115" s="82"/>
      <c r="N115" s="82">
        <v>1000</v>
      </c>
      <c r="O115" s="82"/>
      <c r="P115" s="82"/>
      <c r="Q115" s="82"/>
      <c r="R115" s="82"/>
      <c r="S115" s="23"/>
      <c r="T115" s="23">
        <v>2000</v>
      </c>
      <c r="U115" s="23"/>
      <c r="V115" s="79" t="s">
        <v>578</v>
      </c>
      <c r="W115" s="82">
        <f t="shared" si="22"/>
        <v>5024</v>
      </c>
      <c r="X115" s="79"/>
      <c r="Y115" s="4"/>
      <c r="Z115" s="4"/>
      <c r="AA115" s="82"/>
      <c r="AB115" s="82"/>
      <c r="AC115" s="82"/>
      <c r="AD115" s="23"/>
      <c r="AE115" s="7" t="s">
        <v>1201</v>
      </c>
      <c r="AH115" s="23">
        <f>SUM('2021 Detail'!J112:U112)+SUM('2021 Detail'!AA112)</f>
        <v>2006</v>
      </c>
      <c r="AJ115" s="23">
        <f t="shared" si="23"/>
        <v>994</v>
      </c>
      <c r="AL115" t="str">
        <f t="shared" si="24"/>
        <v>Up</v>
      </c>
    </row>
    <row r="116" spans="1:43" x14ac:dyDescent="0.2">
      <c r="A116" s="226" t="s">
        <v>100</v>
      </c>
      <c r="B116" s="9" t="s">
        <v>495</v>
      </c>
      <c r="C116" s="9" t="s">
        <v>495</v>
      </c>
      <c r="D116" s="9">
        <v>0</v>
      </c>
      <c r="E116" s="9"/>
      <c r="F116" s="9" t="s">
        <v>495</v>
      </c>
      <c r="G116" s="83">
        <v>4054</v>
      </c>
      <c r="H116" s="83">
        <f t="shared" si="20"/>
        <v>4053.9999999999995</v>
      </c>
      <c r="I116" s="133">
        <f t="shared" si="21"/>
        <v>1</v>
      </c>
      <c r="J116" s="82">
        <v>337.87</v>
      </c>
      <c r="K116" s="82">
        <v>337.83</v>
      </c>
      <c r="L116" s="82">
        <v>337.83</v>
      </c>
      <c r="M116" s="82">
        <v>337.83</v>
      </c>
      <c r="N116" s="82">
        <v>337.83</v>
      </c>
      <c r="O116" s="82">
        <v>337.83</v>
      </c>
      <c r="P116" s="82">
        <v>337.83</v>
      </c>
      <c r="Q116" s="82">
        <v>337.83</v>
      </c>
      <c r="R116" s="82">
        <v>337.83</v>
      </c>
      <c r="S116" s="23">
        <v>337.83</v>
      </c>
      <c r="T116" s="23">
        <v>337.83</v>
      </c>
      <c r="U116" s="23">
        <v>337.83</v>
      </c>
      <c r="V116" s="79" t="s">
        <v>579</v>
      </c>
      <c r="W116" s="82">
        <f t="shared" si="22"/>
        <v>0</v>
      </c>
      <c r="X116" s="79"/>
      <c r="Y116" s="4"/>
      <c r="Z116" s="4"/>
      <c r="AA116" s="82"/>
      <c r="AB116" s="82"/>
      <c r="AC116" s="82"/>
      <c r="AD116" s="23"/>
      <c r="AE116" s="7" t="s">
        <v>1201</v>
      </c>
      <c r="AH116" s="23">
        <f>SUM('2021 Detail'!J113:U113)+SUM('2021 Detail'!AA113)</f>
        <v>4053.9999999999995</v>
      </c>
      <c r="AJ116" s="23">
        <f t="shared" si="23"/>
        <v>0</v>
      </c>
      <c r="AL116" t="str">
        <f t="shared" si="24"/>
        <v>Same</v>
      </c>
      <c r="AQ116" s="23">
        <v>337.83</v>
      </c>
    </row>
    <row r="117" spans="1:43" x14ac:dyDescent="0.2">
      <c r="A117" s="226" t="s">
        <v>101</v>
      </c>
      <c r="B117" s="9" t="s">
        <v>495</v>
      </c>
      <c r="C117" s="9">
        <v>0</v>
      </c>
      <c r="D117" s="9">
        <v>0</v>
      </c>
      <c r="E117" s="9"/>
      <c r="F117" s="9">
        <v>0</v>
      </c>
      <c r="G117" s="83">
        <v>13666</v>
      </c>
      <c r="H117" s="83">
        <f t="shared" si="20"/>
        <v>13666</v>
      </c>
      <c r="I117" s="133">
        <f t="shared" si="21"/>
        <v>1</v>
      </c>
      <c r="J117" s="82">
        <v>1138.8699999999999</v>
      </c>
      <c r="K117" s="82">
        <v>1138.83</v>
      </c>
      <c r="L117" s="82">
        <v>1138.83</v>
      </c>
      <c r="M117" s="82">
        <v>1138.83</v>
      </c>
      <c r="N117" s="82">
        <v>1138.83</v>
      </c>
      <c r="O117" s="82">
        <v>1138.83</v>
      </c>
      <c r="P117" s="82">
        <v>1138.83</v>
      </c>
      <c r="Q117" s="82">
        <v>1138.83</v>
      </c>
      <c r="R117" s="82">
        <v>1138.83</v>
      </c>
      <c r="S117" s="23">
        <v>1138.83</v>
      </c>
      <c r="T117" s="23">
        <v>1138.83</v>
      </c>
      <c r="U117" s="23">
        <v>1138.83</v>
      </c>
      <c r="V117" s="79" t="s">
        <v>580</v>
      </c>
      <c r="W117" s="82">
        <f t="shared" si="22"/>
        <v>0</v>
      </c>
      <c r="X117" s="79"/>
      <c r="Y117" s="4"/>
      <c r="Z117" s="4"/>
      <c r="AA117" s="82"/>
      <c r="AB117" s="82"/>
      <c r="AC117" s="82"/>
      <c r="AD117" s="23"/>
      <c r="AE117" s="7" t="s">
        <v>398</v>
      </c>
      <c r="AH117" s="23">
        <f>SUM('2021 Detail'!J114:U114)+SUM('2021 Detail'!AA114)</f>
        <v>13600</v>
      </c>
      <c r="AJ117" s="23">
        <f t="shared" si="23"/>
        <v>66</v>
      </c>
      <c r="AL117" t="str">
        <f t="shared" si="24"/>
        <v>Up</v>
      </c>
      <c r="AQ117" s="23">
        <v>1700</v>
      </c>
    </row>
    <row r="118" spans="1:43" x14ac:dyDescent="0.2">
      <c r="A118" s="226" t="s">
        <v>102</v>
      </c>
      <c r="B118" s="9" t="s">
        <v>495</v>
      </c>
      <c r="C118" s="9" t="s">
        <v>495</v>
      </c>
      <c r="D118" s="9">
        <v>0</v>
      </c>
      <c r="E118" s="9"/>
      <c r="F118" s="9">
        <v>0</v>
      </c>
      <c r="G118" s="83">
        <v>6833</v>
      </c>
      <c r="H118" s="83">
        <f t="shared" si="20"/>
        <v>6832.92</v>
      </c>
      <c r="I118" s="133">
        <f t="shared" si="21"/>
        <v>1</v>
      </c>
      <c r="J118" s="82">
        <v>0</v>
      </c>
      <c r="K118" s="82"/>
      <c r="L118" s="82"/>
      <c r="M118" s="82"/>
      <c r="N118" s="82">
        <v>1708.23</v>
      </c>
      <c r="O118" s="82">
        <v>1708.23</v>
      </c>
      <c r="P118" s="82"/>
      <c r="Q118" s="82"/>
      <c r="R118" s="82"/>
      <c r="S118" s="23">
        <v>1708.23</v>
      </c>
      <c r="T118" s="23"/>
      <c r="U118" s="23"/>
      <c r="V118" s="79" t="s">
        <v>581</v>
      </c>
      <c r="W118" s="82">
        <f t="shared" si="22"/>
        <v>7.999999999992724E-2</v>
      </c>
      <c r="X118" s="79"/>
      <c r="Y118" s="4"/>
      <c r="Z118" s="4"/>
      <c r="AA118" s="82">
        <v>1708.23</v>
      </c>
      <c r="AB118" s="82"/>
      <c r="AC118" s="82"/>
      <c r="AD118" s="23"/>
      <c r="AE118" s="7" t="s">
        <v>398</v>
      </c>
      <c r="AH118" s="23">
        <f>SUM('2021 Detail'!J115:U115)+SUM('2021 Detail'!AA115)</f>
        <v>6833</v>
      </c>
      <c r="AJ118" s="23">
        <f t="shared" si="23"/>
        <v>-7.999999999992724E-2</v>
      </c>
      <c r="AL118" t="str">
        <f t="shared" si="24"/>
        <v>Down</v>
      </c>
      <c r="AQ118" s="23">
        <v>6833</v>
      </c>
    </row>
    <row r="119" spans="1:43" x14ac:dyDescent="0.2">
      <c r="A119" s="226" t="s">
        <v>103</v>
      </c>
      <c r="B119" s="9" t="s">
        <v>495</v>
      </c>
      <c r="C119" s="9">
        <v>0</v>
      </c>
      <c r="D119" s="9" t="s">
        <v>495</v>
      </c>
      <c r="E119" s="9"/>
      <c r="F119" s="9">
        <v>0</v>
      </c>
      <c r="G119" s="83">
        <v>22773</v>
      </c>
      <c r="H119" s="83">
        <f t="shared" si="20"/>
        <v>20000</v>
      </c>
      <c r="I119" s="133">
        <f t="shared" si="21"/>
        <v>0.87819999999999998</v>
      </c>
      <c r="J119" s="82">
        <v>0</v>
      </c>
      <c r="K119" s="82"/>
      <c r="L119" s="82"/>
      <c r="M119" s="82"/>
      <c r="N119" s="82">
        <v>4400</v>
      </c>
      <c r="O119" s="82"/>
      <c r="P119" s="82"/>
      <c r="Q119" s="82"/>
      <c r="R119" s="82"/>
      <c r="S119" s="23">
        <v>8500</v>
      </c>
      <c r="T119" s="23">
        <v>2000</v>
      </c>
      <c r="U119" s="23">
        <v>5100</v>
      </c>
      <c r="V119" s="79" t="s">
        <v>582</v>
      </c>
      <c r="W119" s="82">
        <f t="shared" si="22"/>
        <v>2773</v>
      </c>
      <c r="X119" s="79"/>
      <c r="Y119" s="4"/>
      <c r="Z119" s="4"/>
      <c r="AA119" s="82"/>
      <c r="AB119" s="82"/>
      <c r="AC119" s="82"/>
      <c r="AD119" s="23"/>
      <c r="AE119" s="7" t="s">
        <v>1199</v>
      </c>
      <c r="AH119" s="23">
        <f>SUM('2021 Detail'!J116:U116)+SUM('2021 Detail'!AA116)</f>
        <v>16136.5</v>
      </c>
      <c r="AJ119" s="23">
        <f t="shared" si="23"/>
        <v>3863.5</v>
      </c>
      <c r="AL119" t="str">
        <f t="shared" si="24"/>
        <v>Up</v>
      </c>
      <c r="AQ119" s="23">
        <v>4750</v>
      </c>
    </row>
    <row r="120" spans="1:43" x14ac:dyDescent="0.2">
      <c r="A120" s="226" t="s">
        <v>104</v>
      </c>
      <c r="B120" s="9" t="s">
        <v>495</v>
      </c>
      <c r="C120" s="9" t="s">
        <v>495</v>
      </c>
      <c r="D120" s="9">
        <v>0</v>
      </c>
      <c r="E120" s="9"/>
      <c r="F120" s="9">
        <v>0</v>
      </c>
      <c r="G120" s="83">
        <v>5000</v>
      </c>
      <c r="H120" s="83">
        <f t="shared" si="20"/>
        <v>5000</v>
      </c>
      <c r="I120" s="133">
        <f t="shared" si="21"/>
        <v>1</v>
      </c>
      <c r="J120" s="82">
        <v>0</v>
      </c>
      <c r="K120" s="82">
        <v>417</v>
      </c>
      <c r="L120" s="82">
        <v>834</v>
      </c>
      <c r="M120" s="82">
        <v>417</v>
      </c>
      <c r="N120" s="82">
        <v>417</v>
      </c>
      <c r="O120" s="82"/>
      <c r="P120" s="82">
        <v>834</v>
      </c>
      <c r="Q120" s="82">
        <v>417</v>
      </c>
      <c r="R120" s="82"/>
      <c r="S120" s="23">
        <v>1251</v>
      </c>
      <c r="T120" s="23">
        <v>413</v>
      </c>
      <c r="U120" s="23"/>
      <c r="V120" s="79" t="s">
        <v>583</v>
      </c>
      <c r="W120" s="82">
        <f t="shared" si="22"/>
        <v>0</v>
      </c>
      <c r="X120" s="79"/>
      <c r="Y120" s="4"/>
      <c r="Z120" s="4"/>
      <c r="AA120" s="82"/>
      <c r="AB120" s="82"/>
      <c r="AC120" s="82"/>
      <c r="AD120" s="23"/>
      <c r="AE120" s="7" t="s">
        <v>1199</v>
      </c>
      <c r="AH120" s="23">
        <f>SUM('2021 Detail'!J117:U117)+SUM('2021 Detail'!AA117)</f>
        <v>4565</v>
      </c>
      <c r="AJ120" s="23">
        <f t="shared" si="23"/>
        <v>435</v>
      </c>
      <c r="AL120" t="str">
        <f t="shared" si="24"/>
        <v>Up</v>
      </c>
      <c r="AQ120" s="23">
        <v>830</v>
      </c>
    </row>
    <row r="121" spans="1:43" x14ac:dyDescent="0.2">
      <c r="G121" s="83"/>
      <c r="I121" s="133"/>
      <c r="X121" s="79"/>
      <c r="Y121" s="4"/>
      <c r="Z121" s="4"/>
      <c r="AA121" s="82"/>
      <c r="AB121" s="82"/>
      <c r="AC121" s="82"/>
      <c r="AD121" s="23"/>
      <c r="AJ121" s="23"/>
    </row>
    <row r="122" spans="1:43" x14ac:dyDescent="0.2">
      <c r="A122" s="226" t="s">
        <v>1142</v>
      </c>
      <c r="G122" s="83">
        <f>SUM(G96:G121)</f>
        <v>432076</v>
      </c>
      <c r="H122" s="83">
        <f>SUM(H96:H121)</f>
        <v>354495.37</v>
      </c>
      <c r="I122" s="133">
        <f t="shared" ref="I122:I123" si="25">ROUND((H122/G122),4)</f>
        <v>0.82040000000000002</v>
      </c>
      <c r="J122" s="83">
        <f t="shared" ref="J122:U122" si="26">SUM(J96:J121)</f>
        <v>16597.02</v>
      </c>
      <c r="K122" s="83">
        <f t="shared" si="26"/>
        <v>17763.879999999997</v>
      </c>
      <c r="L122" s="83">
        <f t="shared" si="26"/>
        <v>29972.720000000001</v>
      </c>
      <c r="M122" s="83">
        <f t="shared" si="26"/>
        <v>24809.370000000003</v>
      </c>
      <c r="N122" s="83">
        <f t="shared" si="26"/>
        <v>29999.100000000002</v>
      </c>
      <c r="O122" s="83">
        <f t="shared" si="26"/>
        <v>23555.100000000002</v>
      </c>
      <c r="P122" s="83">
        <f t="shared" si="26"/>
        <v>17430.87</v>
      </c>
      <c r="Q122" s="83">
        <f t="shared" si="26"/>
        <v>28550.870000000003</v>
      </c>
      <c r="R122" s="83">
        <f t="shared" si="26"/>
        <v>29394.870000000003</v>
      </c>
      <c r="S122" s="4">
        <f t="shared" si="26"/>
        <v>32023.850000000002</v>
      </c>
      <c r="T122" s="4">
        <f t="shared" si="26"/>
        <v>35799.32</v>
      </c>
      <c r="U122" s="4">
        <f t="shared" si="26"/>
        <v>59810.170000000006</v>
      </c>
      <c r="V122" s="77"/>
      <c r="W122" s="82">
        <f>SUM(W96:W121)</f>
        <v>77580.63</v>
      </c>
      <c r="X122" s="79"/>
      <c r="Y122" s="4"/>
      <c r="Z122" s="4"/>
      <c r="AA122" s="83">
        <f>SUM(AA96:AA121)</f>
        <v>3091.23</v>
      </c>
      <c r="AB122" s="83">
        <f>SUM(AB96:AB121)</f>
        <v>5697</v>
      </c>
      <c r="AC122" s="83">
        <f>SUM(AC96:AC121)</f>
        <v>0</v>
      </c>
      <c r="AD122" s="4"/>
      <c r="AH122" s="23">
        <f>SUM(AH96:AH121)</f>
        <v>330736.88</v>
      </c>
      <c r="AJ122" s="23">
        <f t="shared" si="23"/>
        <v>23758.489999999991</v>
      </c>
      <c r="AM122" s="11">
        <f>SUM(J122:R122)+SUM(S123:U123)+SUM('2020 detail'!AA118:AC118)</f>
        <v>328143.21999999997</v>
      </c>
      <c r="AN122" s="24">
        <f>ROUND((AM122/G122),4)</f>
        <v>0.75949999999999995</v>
      </c>
      <c r="AO122" s="24">
        <f>ROUND((SUM(J123:U123)/G123),4)</f>
        <v>0.76549999999999996</v>
      </c>
      <c r="AQ122" s="23">
        <f>SUM(AQ96:AQ121)</f>
        <v>55062.37</v>
      </c>
    </row>
    <row r="123" spans="1:43" x14ac:dyDescent="0.2">
      <c r="A123" s="253" t="s">
        <v>1056</v>
      </c>
      <c r="G123" s="206">
        <f>'2021 Detail'!G119</f>
        <v>432074</v>
      </c>
      <c r="H123" s="206">
        <f>SUM(J123:U123)+SUM(AA123:AC123)</f>
        <v>330736.88</v>
      </c>
      <c r="I123" s="207">
        <f t="shared" si="25"/>
        <v>0.76549999999999996</v>
      </c>
      <c r="J123" s="206">
        <f>'2021 Detail'!J119</f>
        <v>13472.95</v>
      </c>
      <c r="K123" s="206">
        <f>'2021 Detail'!K119</f>
        <v>30003.25</v>
      </c>
      <c r="L123" s="206">
        <f>'2021 Detail'!L119</f>
        <v>16928.7</v>
      </c>
      <c r="M123" s="206">
        <f>'2021 Detail'!M119</f>
        <v>35035.160000000003</v>
      </c>
      <c r="N123" s="206">
        <f>'2021 Detail'!N119</f>
        <v>20802.810000000001</v>
      </c>
      <c r="O123" s="206">
        <f>'2021 Detail'!O119</f>
        <v>11383.81</v>
      </c>
      <c r="P123" s="206">
        <f>'2021 Detail'!P119</f>
        <v>36673.31</v>
      </c>
      <c r="Q123" s="206">
        <f>'2021 Detail'!Q119</f>
        <v>23696.66</v>
      </c>
      <c r="R123" s="206">
        <f>'2021 Detail'!R119</f>
        <v>32670.809999999998</v>
      </c>
      <c r="S123" s="206">
        <f>'2021 Detail'!S119</f>
        <v>29930.66</v>
      </c>
      <c r="T123" s="206">
        <f>'2021 Detail'!T119</f>
        <v>25076.39</v>
      </c>
      <c r="U123" s="206">
        <f>'2021 Detail'!U119</f>
        <v>55062.37</v>
      </c>
      <c r="V123" s="206"/>
      <c r="W123" s="206"/>
      <c r="X123" s="206"/>
      <c r="Y123" s="4"/>
      <c r="Z123" s="4"/>
      <c r="AA123" s="206">
        <f>'2021 Detail'!AA119</f>
        <v>0</v>
      </c>
      <c r="AB123" s="206">
        <f>'2021 Detail'!AB119</f>
        <v>0</v>
      </c>
      <c r="AC123" s="206">
        <f>'2021 Detail'!AC119</f>
        <v>0</v>
      </c>
      <c r="AD123" s="23"/>
      <c r="AJ123" s="23"/>
    </row>
    <row r="124" spans="1:43" x14ac:dyDescent="0.2">
      <c r="X124" s="79"/>
      <c r="Y124" s="4"/>
      <c r="Z124" s="4"/>
      <c r="AJ124" s="23"/>
    </row>
    <row r="125" spans="1:43" x14ac:dyDescent="0.2">
      <c r="A125" s="226" t="str">
        <f t="shared" ref="A125:U125" si="27">A$510</f>
        <v>Diocesan Total 2022</v>
      </c>
      <c r="B125" s="226">
        <f t="shared" si="27"/>
        <v>0</v>
      </c>
      <c r="C125" s="226">
        <f t="shared" si="27"/>
        <v>0</v>
      </c>
      <c r="D125" s="258">
        <f t="shared" si="27"/>
        <v>0</v>
      </c>
      <c r="E125" s="226">
        <f t="shared" si="27"/>
        <v>0</v>
      </c>
      <c r="F125" s="226">
        <f t="shared" si="27"/>
        <v>0</v>
      </c>
      <c r="G125" s="83">
        <f t="shared" si="27"/>
        <v>8116012</v>
      </c>
      <c r="H125" s="83">
        <f t="shared" si="27"/>
        <v>6559332.3399999999</v>
      </c>
      <c r="I125" s="133">
        <f t="shared" si="27"/>
        <v>0.80820000000000003</v>
      </c>
      <c r="J125" s="83">
        <f t="shared" si="27"/>
        <v>378351.23</v>
      </c>
      <c r="K125" s="83">
        <f t="shared" si="27"/>
        <v>449442.02</v>
      </c>
      <c r="L125" s="83">
        <f t="shared" si="27"/>
        <v>517036.34</v>
      </c>
      <c r="M125" s="83">
        <f t="shared" si="27"/>
        <v>434875.54000000004</v>
      </c>
      <c r="N125" s="83">
        <f t="shared" si="27"/>
        <v>497786.23</v>
      </c>
      <c r="O125" s="83">
        <f t="shared" si="27"/>
        <v>599586.94000000006</v>
      </c>
      <c r="P125" s="83">
        <f t="shared" si="27"/>
        <v>498701.35</v>
      </c>
      <c r="Q125" s="83">
        <f t="shared" si="27"/>
        <v>538018.41999999993</v>
      </c>
      <c r="R125" s="83">
        <f t="shared" si="27"/>
        <v>551902.79</v>
      </c>
      <c r="S125" s="4">
        <f t="shared" si="27"/>
        <v>564217.18000000005</v>
      </c>
      <c r="T125" s="4">
        <f t="shared" si="27"/>
        <v>646111.05000000005</v>
      </c>
      <c r="U125" s="4">
        <f t="shared" si="27"/>
        <v>737258.44</v>
      </c>
      <c r="V125" s="77"/>
      <c r="W125" s="82"/>
      <c r="X125" s="4"/>
      <c r="Y125" s="4"/>
      <c r="Z125" s="4"/>
      <c r="AA125" s="83"/>
      <c r="AB125" s="83"/>
      <c r="AC125" s="83"/>
      <c r="AD125" s="4"/>
      <c r="AH125" s="23">
        <f>AH$510</f>
        <v>6554125.29</v>
      </c>
      <c r="AJ125" s="23">
        <f>AJ$510</f>
        <v>5207.0499999998137</v>
      </c>
    </row>
    <row r="126" spans="1:43" x14ac:dyDescent="0.2">
      <c r="A126" s="253" t="str">
        <f t="shared" ref="A126:U126" si="28">A$511</f>
        <v>Diocesan Total 2021</v>
      </c>
      <c r="B126" s="253">
        <f t="shared" si="28"/>
        <v>0</v>
      </c>
      <c r="C126" s="253">
        <f t="shared" si="28"/>
        <v>0</v>
      </c>
      <c r="D126" s="259">
        <f t="shared" si="28"/>
        <v>0</v>
      </c>
      <c r="E126" s="253">
        <f t="shared" si="28"/>
        <v>0</v>
      </c>
      <c r="F126" s="253">
        <f t="shared" si="28"/>
        <v>0</v>
      </c>
      <c r="G126" s="206">
        <f t="shared" si="28"/>
        <v>8132853</v>
      </c>
      <c r="H126" s="206">
        <f t="shared" si="28"/>
        <v>6587993.7700000005</v>
      </c>
      <c r="I126" s="207">
        <f t="shared" si="28"/>
        <v>0.81</v>
      </c>
      <c r="J126" s="206">
        <f t="shared" si="28"/>
        <v>340336.86</v>
      </c>
      <c r="K126" s="206">
        <f t="shared" si="28"/>
        <v>407387.73</v>
      </c>
      <c r="L126" s="206">
        <f t="shared" si="28"/>
        <v>497955.59</v>
      </c>
      <c r="M126" s="206">
        <f t="shared" si="28"/>
        <v>513800.89999999997</v>
      </c>
      <c r="N126" s="206">
        <f t="shared" si="28"/>
        <v>483760.16000000003</v>
      </c>
      <c r="O126" s="206">
        <f t="shared" si="28"/>
        <v>527451.71000000008</v>
      </c>
      <c r="P126" s="206">
        <f t="shared" si="28"/>
        <v>582882.6100000001</v>
      </c>
      <c r="Q126" s="206">
        <f t="shared" si="28"/>
        <v>489302.35</v>
      </c>
      <c r="R126" s="206">
        <f t="shared" si="28"/>
        <v>548459.72</v>
      </c>
      <c r="S126" s="206">
        <f t="shared" si="28"/>
        <v>527708.16999999993</v>
      </c>
      <c r="T126" s="206">
        <f t="shared" si="28"/>
        <v>616975.80999999994</v>
      </c>
      <c r="U126" s="206">
        <f t="shared" si="28"/>
        <v>907302.59</v>
      </c>
      <c r="V126" s="206"/>
      <c r="W126" s="206"/>
      <c r="X126" s="206"/>
      <c r="Y126" s="4"/>
      <c r="Z126" s="4"/>
      <c r="AA126" s="206"/>
      <c r="AB126" s="206"/>
      <c r="AC126" s="206"/>
      <c r="AJ126" s="23"/>
    </row>
    <row r="127" spans="1:43" ht="15.75" x14ac:dyDescent="0.25">
      <c r="G127" s="196" t="s">
        <v>9</v>
      </c>
      <c r="X127" s="79"/>
      <c r="Y127" s="4"/>
      <c r="Z127" s="4"/>
      <c r="AH127" s="171" t="s">
        <v>1136</v>
      </c>
      <c r="AI127" s="172"/>
      <c r="AJ127" s="171" t="s">
        <v>1064</v>
      </c>
    </row>
    <row r="128" spans="1:43" x14ac:dyDescent="0.2">
      <c r="X128" s="79"/>
      <c r="Y128" s="4"/>
      <c r="Z128" s="4"/>
      <c r="AH128" s="171" t="s">
        <v>1137</v>
      </c>
      <c r="AI128" s="172"/>
      <c r="AJ128" s="171" t="s">
        <v>1138</v>
      </c>
    </row>
    <row r="129" spans="1:43" ht="16.5" x14ac:dyDescent="0.25">
      <c r="A129" s="250"/>
      <c r="B129" s="8"/>
      <c r="C129" s="8"/>
      <c r="E129" s="8"/>
      <c r="F129" s="8"/>
      <c r="G129" s="208" t="str">
        <f>$G$3</f>
        <v>2022 PARISH SHARE INFORMATION AS AT 31 DECEMBER 2022</v>
      </c>
      <c r="H129" s="209"/>
      <c r="W129" s="194"/>
      <c r="X129"/>
      <c r="Y129" s="4"/>
      <c r="Z129" s="4"/>
      <c r="AA129"/>
      <c r="AB129"/>
      <c r="AC129"/>
      <c r="AH129" s="172"/>
      <c r="AI129" s="172"/>
      <c r="AJ129" s="171" t="s">
        <v>1139</v>
      </c>
    </row>
    <row r="130" spans="1:43" x14ac:dyDescent="0.2">
      <c r="A130" s="250"/>
      <c r="G130" s="205"/>
      <c r="H130" s="197"/>
      <c r="W130" s="194"/>
      <c r="X130"/>
      <c r="Y130" s="4"/>
      <c r="Z130" s="4"/>
      <c r="AA130"/>
      <c r="AB130"/>
      <c r="AC130"/>
    </row>
    <row r="131" spans="1:43" ht="16.5" x14ac:dyDescent="0.25">
      <c r="A131" s="251" t="s">
        <v>1</v>
      </c>
      <c r="B131" s="151" t="str">
        <f>$B$5</f>
        <v>RM</v>
      </c>
      <c r="C131" s="151" t="str">
        <f>$C$5</f>
        <v>RF</v>
      </c>
      <c r="D131" s="151" t="str">
        <f>$D$5</f>
        <v>Accts</v>
      </c>
      <c r="E131" s="151"/>
      <c r="F131" s="151" t="str">
        <f>$F$5</f>
        <v>Share DD</v>
      </c>
      <c r="G131" s="210" t="str">
        <f>$G$5</f>
        <v xml:space="preserve">2022 Share </v>
      </c>
      <c r="H131" s="211" t="str">
        <f>$H$5</f>
        <v xml:space="preserve">2022 Paid </v>
      </c>
      <c r="I131" s="211" t="str">
        <f>$I$5</f>
        <v xml:space="preserve">% Paid </v>
      </c>
      <c r="J131" s="212">
        <f>$J$5</f>
        <v>44592</v>
      </c>
      <c r="K131" s="212">
        <f>$K$5</f>
        <v>44620</v>
      </c>
      <c r="L131" s="212">
        <f>$L$5</f>
        <v>44651</v>
      </c>
      <c r="M131" s="212">
        <f>$M$5</f>
        <v>44681</v>
      </c>
      <c r="N131" s="212">
        <f>$N$5</f>
        <v>44712</v>
      </c>
      <c r="O131" s="212">
        <f>$O$5</f>
        <v>44742</v>
      </c>
      <c r="P131" s="212">
        <f>$P$5</f>
        <v>44773</v>
      </c>
      <c r="Q131" s="212">
        <f>$Q$5</f>
        <v>44804</v>
      </c>
      <c r="R131" s="212">
        <f>$R$5</f>
        <v>44834</v>
      </c>
      <c r="S131" s="155">
        <f>$S$5</f>
        <v>44865</v>
      </c>
      <c r="T131" s="155">
        <f>$T$5</f>
        <v>44895</v>
      </c>
      <c r="U131" s="155">
        <f>$U$5</f>
        <v>44926</v>
      </c>
      <c r="V131" s="78"/>
      <c r="W131" s="195" t="str">
        <f>$W$5</f>
        <v xml:space="preserve">Outstanding </v>
      </c>
      <c r="X131" s="2"/>
      <c r="Y131" s="4"/>
      <c r="Z131" s="4"/>
      <c r="AA131" s="2">
        <f>$AA$5</f>
        <v>44957</v>
      </c>
      <c r="AB131" s="2">
        <f>$AB$5</f>
        <v>44985</v>
      </c>
      <c r="AC131" s="2">
        <f>$AC$5</f>
        <v>45016</v>
      </c>
      <c r="AE131" s="152" t="str">
        <f>$AE$5</f>
        <v>Benefice</v>
      </c>
      <c r="AH131" s="16" t="s">
        <v>1141</v>
      </c>
      <c r="AJ131" s="170" t="s">
        <v>1140</v>
      </c>
      <c r="AQ131" s="222">
        <f>AQ5</f>
        <v>44588</v>
      </c>
    </row>
    <row r="132" spans="1:43" ht="16.5" x14ac:dyDescent="0.25">
      <c r="A132" s="250"/>
      <c r="G132" s="201" t="s">
        <v>1040</v>
      </c>
      <c r="H132" s="202" t="s">
        <v>1040</v>
      </c>
      <c r="I132" s="203"/>
      <c r="J132" s="202" t="s">
        <v>1040</v>
      </c>
      <c r="K132" s="202" t="s">
        <v>1040</v>
      </c>
      <c r="L132" s="202" t="s">
        <v>1040</v>
      </c>
      <c r="M132" s="202" t="s">
        <v>1040</v>
      </c>
      <c r="N132" s="202" t="s">
        <v>1040</v>
      </c>
      <c r="O132" s="202" t="s">
        <v>1040</v>
      </c>
      <c r="P132" s="202" t="s">
        <v>1040</v>
      </c>
      <c r="Q132" s="202" t="s">
        <v>1040</v>
      </c>
      <c r="R132" s="202" t="s">
        <v>1040</v>
      </c>
      <c r="S132" s="147" t="s">
        <v>1040</v>
      </c>
      <c r="T132" s="147" t="s">
        <v>1040</v>
      </c>
      <c r="U132" s="147" t="s">
        <v>1040</v>
      </c>
      <c r="W132" s="194"/>
      <c r="X132"/>
      <c r="Y132" s="4"/>
      <c r="Z132" s="4"/>
      <c r="AA132"/>
      <c r="AB132"/>
      <c r="AC132"/>
      <c r="AJ132" s="23"/>
    </row>
    <row r="133" spans="1:43" x14ac:dyDescent="0.2">
      <c r="X133" s="79"/>
      <c r="Y133" s="4"/>
      <c r="Z133" s="4"/>
      <c r="AJ133" s="23"/>
    </row>
    <row r="134" spans="1:43" x14ac:dyDescent="0.2">
      <c r="A134" s="226" t="s">
        <v>105</v>
      </c>
      <c r="B134" s="9" t="s">
        <v>495</v>
      </c>
      <c r="C134" s="9" t="s">
        <v>495</v>
      </c>
      <c r="D134" s="9">
        <v>0</v>
      </c>
      <c r="E134" s="9"/>
      <c r="F134" s="9">
        <v>0</v>
      </c>
      <c r="G134" s="83">
        <v>75524</v>
      </c>
      <c r="H134" s="83">
        <f t="shared" ref="H134:H160" si="29">SUM(J134:U134)+SUM(AA134:AC134)</f>
        <v>75522.960000000006</v>
      </c>
      <c r="I134" s="133">
        <f t="shared" ref="I134:I160" si="30">ROUND((H134/G134),4)</f>
        <v>1</v>
      </c>
      <c r="J134" s="82">
        <v>0</v>
      </c>
      <c r="K134" s="82">
        <v>12587.16</v>
      </c>
      <c r="L134" s="82">
        <v>6293.58</v>
      </c>
      <c r="M134" s="82">
        <v>6293.58</v>
      </c>
      <c r="N134" s="82">
        <v>6293.58</v>
      </c>
      <c r="O134" s="82">
        <v>6293.58</v>
      </c>
      <c r="P134" s="82">
        <v>6293.58</v>
      </c>
      <c r="Q134" s="82">
        <v>6293.58</v>
      </c>
      <c r="R134" s="82"/>
      <c r="S134" s="23">
        <v>12587.16</v>
      </c>
      <c r="T134" s="23">
        <v>6293.58</v>
      </c>
      <c r="U134" s="23">
        <v>6293.58</v>
      </c>
      <c r="V134" s="7" t="s">
        <v>584</v>
      </c>
      <c r="W134" s="82">
        <f t="shared" ref="W134:W160" si="31">G134-H134</f>
        <v>1.0399999999935972</v>
      </c>
      <c r="X134" s="79"/>
      <c r="Y134" s="4"/>
      <c r="Z134" s="4"/>
      <c r="AA134" s="82"/>
      <c r="AB134" s="82"/>
      <c r="AC134" s="82"/>
      <c r="AD134" s="23"/>
      <c r="AE134" s="7" t="s">
        <v>399</v>
      </c>
      <c r="AH134" s="23">
        <f>SUM('2021 Detail'!J129:U129)+SUM('2021 Detail'!AA129)</f>
        <v>75522.960000000006</v>
      </c>
      <c r="AJ134" s="23">
        <f t="shared" si="23"/>
        <v>0</v>
      </c>
      <c r="AL134" t="str">
        <f t="shared" ref="AL134:AL160" si="32">IF(AJ134&lt;0,"Down",IF(AJ134&gt;0,"Up","Same"))</f>
        <v>Same</v>
      </c>
      <c r="AQ134" s="23">
        <v>6293.58</v>
      </c>
    </row>
    <row r="135" spans="1:43" x14ac:dyDescent="0.2">
      <c r="A135" s="226" t="s">
        <v>106</v>
      </c>
      <c r="B135" s="9" t="s">
        <v>495</v>
      </c>
      <c r="C135" s="9" t="s">
        <v>495</v>
      </c>
      <c r="D135" s="9" t="s">
        <v>495</v>
      </c>
      <c r="E135" s="9"/>
      <c r="F135" s="9">
        <v>0</v>
      </c>
      <c r="G135" s="83">
        <v>109178</v>
      </c>
      <c r="H135" s="83">
        <f t="shared" si="29"/>
        <v>74000</v>
      </c>
      <c r="I135" s="133">
        <f t="shared" si="30"/>
        <v>0.67779999999999996</v>
      </c>
      <c r="J135" s="82">
        <v>0</v>
      </c>
      <c r="K135" s="82">
        <v>10000</v>
      </c>
      <c r="L135" s="82">
        <v>5000</v>
      </c>
      <c r="M135" s="82"/>
      <c r="N135" s="82">
        <v>10000</v>
      </c>
      <c r="O135" s="82">
        <v>5000</v>
      </c>
      <c r="P135" s="82">
        <v>5000</v>
      </c>
      <c r="Q135" s="82">
        <v>5000</v>
      </c>
      <c r="R135" s="82">
        <v>5000</v>
      </c>
      <c r="S135" s="23">
        <v>5000</v>
      </c>
      <c r="T135" s="23">
        <v>5000</v>
      </c>
      <c r="U135" s="23">
        <v>5000</v>
      </c>
      <c r="V135" s="7" t="s">
        <v>585</v>
      </c>
      <c r="W135" s="82">
        <f t="shared" si="31"/>
        <v>35178</v>
      </c>
      <c r="X135" s="79"/>
      <c r="Y135" s="4"/>
      <c r="Z135" s="4"/>
      <c r="AA135" s="82">
        <v>14000</v>
      </c>
      <c r="AB135" s="82"/>
      <c r="AC135" s="82"/>
      <c r="AD135" s="23"/>
      <c r="AE135" s="7" t="s">
        <v>401</v>
      </c>
      <c r="AH135" s="23">
        <f>SUM('2021 Detail'!J130:U130)+SUM('2021 Detail'!AA130)</f>
        <v>77000</v>
      </c>
      <c r="AJ135" s="23">
        <f t="shared" si="23"/>
        <v>-3000</v>
      </c>
      <c r="AL135" t="str">
        <f t="shared" si="32"/>
        <v>Down</v>
      </c>
      <c r="AQ135" s="23">
        <v>5000</v>
      </c>
    </row>
    <row r="136" spans="1:43" x14ac:dyDescent="0.2">
      <c r="A136" s="226" t="s">
        <v>107</v>
      </c>
      <c r="B136" s="9" t="s">
        <v>495</v>
      </c>
      <c r="C136" s="9" t="s">
        <v>495</v>
      </c>
      <c r="D136" s="9" t="s">
        <v>495</v>
      </c>
      <c r="E136" s="9"/>
      <c r="F136" s="9" t="s">
        <v>495</v>
      </c>
      <c r="G136" s="83">
        <v>182707</v>
      </c>
      <c r="H136" s="83">
        <f t="shared" si="29"/>
        <v>88213</v>
      </c>
      <c r="I136" s="133">
        <f t="shared" si="30"/>
        <v>0.48280000000000001</v>
      </c>
      <c r="J136" s="82">
        <v>3475.5</v>
      </c>
      <c r="K136" s="82">
        <v>7703.5</v>
      </c>
      <c r="L136" s="82">
        <v>7703.4</v>
      </c>
      <c r="M136" s="82">
        <v>7703.4</v>
      </c>
      <c r="N136" s="82">
        <v>7703.4</v>
      </c>
      <c r="O136" s="82">
        <v>7703.4</v>
      </c>
      <c r="P136" s="82">
        <v>7703.4</v>
      </c>
      <c r="Q136" s="82">
        <v>7703.4</v>
      </c>
      <c r="R136" s="82">
        <v>7703.4</v>
      </c>
      <c r="S136" s="23">
        <v>7703.4</v>
      </c>
      <c r="T136" s="23">
        <v>7703.4</v>
      </c>
      <c r="U136" s="23">
        <v>7703.4</v>
      </c>
      <c r="V136" s="7" t="s">
        <v>586</v>
      </c>
      <c r="W136" s="82">
        <f t="shared" si="31"/>
        <v>94494</v>
      </c>
      <c r="X136" s="79"/>
      <c r="Y136" s="4"/>
      <c r="Z136" s="4"/>
      <c r="AA136" s="82"/>
      <c r="AB136" s="82"/>
      <c r="AC136" s="82"/>
      <c r="AD136" s="23"/>
      <c r="AE136" s="7" t="s">
        <v>402</v>
      </c>
      <c r="AH136" s="23">
        <f>SUM('2021 Detail'!J131:U131)+SUM('2021 Detail'!AA131)</f>
        <v>127639.75</v>
      </c>
      <c r="AJ136" s="23">
        <f t="shared" si="23"/>
        <v>-39426.75</v>
      </c>
      <c r="AL136" t="str">
        <f t="shared" si="32"/>
        <v>Down</v>
      </c>
      <c r="AQ136" s="23">
        <v>3475.5</v>
      </c>
    </row>
    <row r="137" spans="1:43" x14ac:dyDescent="0.2">
      <c r="A137" s="226" t="s">
        <v>1188</v>
      </c>
      <c r="B137" s="9"/>
      <c r="C137" s="9"/>
      <c r="E137" s="9"/>
      <c r="F137" s="9"/>
      <c r="G137" s="83">
        <v>0</v>
      </c>
      <c r="H137" s="83">
        <f t="shared" si="29"/>
        <v>5000</v>
      </c>
      <c r="I137" s="133"/>
      <c r="J137" s="82"/>
      <c r="K137" s="82"/>
      <c r="L137" s="82"/>
      <c r="M137" s="82"/>
      <c r="N137" s="82"/>
      <c r="O137" s="82"/>
      <c r="P137" s="82"/>
      <c r="Q137" s="82">
        <v>5000</v>
      </c>
      <c r="R137" s="82"/>
      <c r="S137" s="23"/>
      <c r="T137" s="23"/>
      <c r="V137" s="7" t="s">
        <v>1189</v>
      </c>
      <c r="W137" s="82">
        <f t="shared" si="31"/>
        <v>-5000</v>
      </c>
      <c r="X137" s="79"/>
      <c r="Y137" s="4"/>
      <c r="Z137" s="4"/>
      <c r="AA137" s="82"/>
      <c r="AB137" s="82"/>
      <c r="AC137" s="82"/>
      <c r="AD137" s="23"/>
      <c r="AE137" s="7" t="s">
        <v>1191</v>
      </c>
      <c r="AH137" s="23">
        <v>0</v>
      </c>
      <c r="AJ137" s="23">
        <f t="shared" si="23"/>
        <v>5000</v>
      </c>
      <c r="AL137" t="str">
        <f t="shared" si="32"/>
        <v>Up</v>
      </c>
    </row>
    <row r="138" spans="1:43" x14ac:dyDescent="0.2">
      <c r="A138" s="226" t="s">
        <v>108</v>
      </c>
      <c r="B138" s="9" t="s">
        <v>495</v>
      </c>
      <c r="C138" s="9" t="s">
        <v>495</v>
      </c>
      <c r="D138" s="9" t="s">
        <v>495</v>
      </c>
      <c r="E138" s="9"/>
      <c r="F138" s="9">
        <v>0</v>
      </c>
      <c r="G138" s="83">
        <v>40656</v>
      </c>
      <c r="H138" s="83">
        <f t="shared" si="29"/>
        <v>40656</v>
      </c>
      <c r="I138" s="133">
        <f t="shared" si="30"/>
        <v>1</v>
      </c>
      <c r="J138" s="82"/>
      <c r="K138" s="82"/>
      <c r="L138" s="82">
        <v>5000</v>
      </c>
      <c r="M138" s="82">
        <v>2500</v>
      </c>
      <c r="N138" s="82">
        <v>2500</v>
      </c>
      <c r="O138" s="82"/>
      <c r="P138" s="82"/>
      <c r="Q138" s="82">
        <v>20000</v>
      </c>
      <c r="R138" s="82"/>
      <c r="S138" s="23"/>
      <c r="T138" s="23"/>
      <c r="U138" s="23">
        <v>10656</v>
      </c>
      <c r="V138" s="7" t="s">
        <v>587</v>
      </c>
      <c r="W138" s="82">
        <f t="shared" si="31"/>
        <v>0</v>
      </c>
      <c r="X138" s="79"/>
      <c r="Y138" s="4"/>
      <c r="Z138" s="4"/>
      <c r="AA138" s="82"/>
      <c r="AB138" s="82"/>
      <c r="AC138" s="82"/>
      <c r="AD138" s="23"/>
      <c r="AE138" s="7" t="s">
        <v>403</v>
      </c>
      <c r="AH138" s="23">
        <f>SUM('2021 Detail'!J132:U132)+SUM('2021 Detail'!AA132)</f>
        <v>30000</v>
      </c>
      <c r="AJ138" s="23">
        <f t="shared" si="23"/>
        <v>10656</v>
      </c>
      <c r="AL138" t="str">
        <f t="shared" si="32"/>
        <v>Up</v>
      </c>
      <c r="AQ138" s="23">
        <v>15000</v>
      </c>
    </row>
    <row r="139" spans="1:43" x14ac:dyDescent="0.2">
      <c r="A139" s="226" t="s">
        <v>109</v>
      </c>
      <c r="B139" s="9" t="s">
        <v>495</v>
      </c>
      <c r="C139" s="9" t="s">
        <v>495</v>
      </c>
      <c r="D139" s="9" t="s">
        <v>495</v>
      </c>
      <c r="E139" s="9"/>
      <c r="F139" s="9">
        <v>0</v>
      </c>
      <c r="G139" s="83">
        <v>42376</v>
      </c>
      <c r="H139" s="83">
        <f t="shared" si="29"/>
        <v>20200</v>
      </c>
      <c r="I139" s="133">
        <f t="shared" si="30"/>
        <v>0.47670000000000001</v>
      </c>
      <c r="J139" s="82">
        <v>0</v>
      </c>
      <c r="K139" s="82"/>
      <c r="L139" s="82"/>
      <c r="M139" s="82"/>
      <c r="N139" s="82"/>
      <c r="O139" s="82"/>
      <c r="P139" s="82"/>
      <c r="Q139" s="82"/>
      <c r="R139" s="82">
        <v>10000</v>
      </c>
      <c r="S139" s="23"/>
      <c r="T139" s="23">
        <v>10200</v>
      </c>
      <c r="U139" s="23"/>
      <c r="V139" s="7" t="s">
        <v>588</v>
      </c>
      <c r="W139" s="82">
        <f t="shared" si="31"/>
        <v>22176</v>
      </c>
      <c r="X139" s="79"/>
      <c r="Y139" s="4"/>
      <c r="Z139" s="4"/>
      <c r="AA139" s="82"/>
      <c r="AB139" s="82"/>
      <c r="AC139" s="82"/>
      <c r="AD139" s="23"/>
      <c r="AE139" s="7" t="s">
        <v>404</v>
      </c>
      <c r="AH139" s="23">
        <f>SUM('2021 Detail'!J133:U133)+SUM('2021 Detail'!AA133)</f>
        <v>30000</v>
      </c>
      <c r="AJ139" s="23">
        <f t="shared" si="23"/>
        <v>-9800</v>
      </c>
      <c r="AL139" t="str">
        <f t="shared" si="32"/>
        <v>Down</v>
      </c>
      <c r="AQ139" s="23">
        <v>22000</v>
      </c>
    </row>
    <row r="140" spans="1:43" x14ac:dyDescent="0.2">
      <c r="A140" s="226" t="s">
        <v>110</v>
      </c>
      <c r="B140" s="9" t="s">
        <v>495</v>
      </c>
      <c r="C140" s="9" t="s">
        <v>495</v>
      </c>
      <c r="D140" s="9">
        <v>0</v>
      </c>
      <c r="E140" s="9"/>
      <c r="F140" s="9">
        <v>0</v>
      </c>
      <c r="G140" s="83">
        <v>51430</v>
      </c>
      <c r="H140" s="83">
        <f t="shared" si="29"/>
        <v>47135</v>
      </c>
      <c r="I140" s="133">
        <f t="shared" si="30"/>
        <v>0.91649999999999998</v>
      </c>
      <c r="J140" s="82">
        <v>4285</v>
      </c>
      <c r="K140" s="82">
        <v>4285</v>
      </c>
      <c r="L140" s="82">
        <v>4285</v>
      </c>
      <c r="M140" s="82">
        <v>4285</v>
      </c>
      <c r="N140" s="82">
        <v>4285</v>
      </c>
      <c r="O140" s="82">
        <v>4285</v>
      </c>
      <c r="P140" s="82">
        <v>4285</v>
      </c>
      <c r="Q140" s="82">
        <v>4285</v>
      </c>
      <c r="R140" s="82">
        <v>4285</v>
      </c>
      <c r="S140" s="23">
        <v>4285</v>
      </c>
      <c r="T140" s="23">
        <v>4285</v>
      </c>
      <c r="U140" s="23"/>
      <c r="V140" s="7" t="s">
        <v>589</v>
      </c>
      <c r="W140" s="82">
        <f t="shared" si="31"/>
        <v>4295</v>
      </c>
      <c r="X140" s="79"/>
      <c r="Y140" s="4"/>
      <c r="Z140" s="4"/>
      <c r="AA140" s="82"/>
      <c r="AB140" s="82"/>
      <c r="AC140" s="82"/>
      <c r="AD140" s="23"/>
      <c r="AE140" s="7" t="s">
        <v>405</v>
      </c>
      <c r="AH140" s="23">
        <f>SUM('2021 Detail'!J134:U134)+SUM('2021 Detail'!AA134)</f>
        <v>51430</v>
      </c>
      <c r="AJ140" s="23">
        <f t="shared" si="23"/>
        <v>-4295</v>
      </c>
      <c r="AL140" t="str">
        <f t="shared" si="32"/>
        <v>Down</v>
      </c>
      <c r="AQ140" s="23">
        <v>3795</v>
      </c>
    </row>
    <row r="141" spans="1:43" x14ac:dyDescent="0.2">
      <c r="A141" s="226" t="s">
        <v>111</v>
      </c>
      <c r="B141" s="9" t="s">
        <v>495</v>
      </c>
      <c r="C141" s="9">
        <v>0</v>
      </c>
      <c r="D141" s="9">
        <v>0</v>
      </c>
      <c r="E141" s="9"/>
      <c r="F141" s="9">
        <v>0</v>
      </c>
      <c r="G141" s="83">
        <v>17502</v>
      </c>
      <c r="H141" s="83">
        <f t="shared" si="29"/>
        <v>0</v>
      </c>
      <c r="I141" s="133">
        <f t="shared" si="30"/>
        <v>0</v>
      </c>
      <c r="J141" s="82">
        <v>0</v>
      </c>
      <c r="K141" s="82"/>
      <c r="L141" s="82"/>
      <c r="M141" s="82"/>
      <c r="N141" s="82"/>
      <c r="O141" s="82"/>
      <c r="P141" s="82"/>
      <c r="Q141" s="82"/>
      <c r="R141" s="82"/>
      <c r="S141" s="23"/>
      <c r="T141" s="23"/>
      <c r="U141" s="23"/>
      <c r="V141" s="7" t="s">
        <v>590</v>
      </c>
      <c r="W141" s="82">
        <f t="shared" si="31"/>
        <v>17502</v>
      </c>
      <c r="X141" s="79"/>
      <c r="Y141" s="4"/>
      <c r="Z141" s="4"/>
      <c r="AA141" s="82"/>
      <c r="AB141" s="82"/>
      <c r="AC141" s="82"/>
      <c r="AD141" s="23"/>
      <c r="AE141" s="7" t="s">
        <v>404</v>
      </c>
      <c r="AH141" s="23">
        <f>SUM('2021 Detail'!J135:U135)+SUM('2021 Detail'!AA135)</f>
        <v>5000</v>
      </c>
      <c r="AJ141" s="23">
        <f t="shared" si="23"/>
        <v>-5000</v>
      </c>
      <c r="AL141" t="str">
        <f t="shared" si="32"/>
        <v>Down</v>
      </c>
    </row>
    <row r="142" spans="1:43" x14ac:dyDescent="0.2">
      <c r="A142" s="226" t="s">
        <v>112</v>
      </c>
      <c r="B142" s="9" t="s">
        <v>495</v>
      </c>
      <c r="C142" s="9" t="s">
        <v>495</v>
      </c>
      <c r="D142" s="9">
        <v>0</v>
      </c>
      <c r="E142" s="9"/>
      <c r="F142" s="9">
        <v>0</v>
      </c>
      <c r="G142" s="83">
        <v>66354</v>
      </c>
      <c r="H142" s="83">
        <f t="shared" si="29"/>
        <v>65647</v>
      </c>
      <c r="I142" s="133">
        <f t="shared" si="30"/>
        <v>0.98929999999999996</v>
      </c>
      <c r="J142" s="82">
        <v>5147</v>
      </c>
      <c r="K142" s="82">
        <v>4500</v>
      </c>
      <c r="L142" s="82">
        <v>4500</v>
      </c>
      <c r="M142" s="82">
        <v>4500</v>
      </c>
      <c r="N142" s="82">
        <v>4500</v>
      </c>
      <c r="O142" s="82">
        <v>4500</v>
      </c>
      <c r="P142" s="82">
        <v>4500</v>
      </c>
      <c r="Q142" s="82">
        <v>4500</v>
      </c>
      <c r="R142" s="82">
        <v>13500</v>
      </c>
      <c r="S142" s="23">
        <v>4500</v>
      </c>
      <c r="T142" s="23">
        <v>4500</v>
      </c>
      <c r="U142" s="23">
        <v>4500</v>
      </c>
      <c r="V142" s="7" t="s">
        <v>591</v>
      </c>
      <c r="W142" s="82">
        <f t="shared" si="31"/>
        <v>707</v>
      </c>
      <c r="X142" s="79"/>
      <c r="Y142" s="4"/>
      <c r="Z142" s="4"/>
      <c r="AA142" s="82">
        <v>2000</v>
      </c>
      <c r="AB142" s="82"/>
      <c r="AC142" s="82"/>
      <c r="AD142" s="23"/>
      <c r="AE142" s="7" t="s">
        <v>406</v>
      </c>
      <c r="AH142" s="23">
        <f>SUM('2021 Detail'!J136:U136)+SUM('2021 Detail'!AA136)</f>
        <v>66353</v>
      </c>
      <c r="AJ142" s="23">
        <f t="shared" si="23"/>
        <v>-706</v>
      </c>
      <c r="AL142" t="str">
        <f t="shared" si="32"/>
        <v>Down</v>
      </c>
      <c r="AQ142" s="23">
        <v>3853</v>
      </c>
    </row>
    <row r="143" spans="1:43" x14ac:dyDescent="0.2">
      <c r="A143" s="226" t="s">
        <v>113</v>
      </c>
      <c r="B143" s="9" t="s">
        <v>495</v>
      </c>
      <c r="C143" s="9" t="s">
        <v>495</v>
      </c>
      <c r="D143" s="9">
        <v>0</v>
      </c>
      <c r="E143" s="9"/>
      <c r="F143" s="9" t="s">
        <v>495</v>
      </c>
      <c r="G143" s="83">
        <v>111579</v>
      </c>
      <c r="H143" s="83">
        <f t="shared" si="29"/>
        <v>111579</v>
      </c>
      <c r="I143" s="133">
        <f t="shared" si="30"/>
        <v>1</v>
      </c>
      <c r="J143" s="82">
        <v>9298.25</v>
      </c>
      <c r="K143" s="82">
        <v>9298.25</v>
      </c>
      <c r="L143" s="82">
        <v>9298.25</v>
      </c>
      <c r="M143" s="82">
        <v>9298.25</v>
      </c>
      <c r="N143" s="82">
        <v>9298.25</v>
      </c>
      <c r="O143" s="82">
        <v>9298.25</v>
      </c>
      <c r="P143" s="82">
        <v>9298.25</v>
      </c>
      <c r="Q143" s="82">
        <v>9298.25</v>
      </c>
      <c r="R143" s="82">
        <v>9298.25</v>
      </c>
      <c r="S143" s="23">
        <v>9298.25</v>
      </c>
      <c r="T143" s="23">
        <v>9298.25</v>
      </c>
      <c r="U143" s="23">
        <v>9298.25</v>
      </c>
      <c r="V143" s="7" t="s">
        <v>592</v>
      </c>
      <c r="W143" s="82">
        <f t="shared" si="31"/>
        <v>0</v>
      </c>
      <c r="X143" s="79"/>
      <c r="Y143" s="4"/>
      <c r="Z143" s="4"/>
      <c r="AA143" s="82"/>
      <c r="AB143" s="82"/>
      <c r="AC143" s="82"/>
      <c r="AD143" s="23"/>
      <c r="AE143" s="7" t="s">
        <v>407</v>
      </c>
      <c r="AH143" s="23">
        <f>SUM('2021 Detail'!J137:U137)+SUM('2021 Detail'!AA137)</f>
        <v>111579</v>
      </c>
      <c r="AJ143" s="23">
        <f t="shared" si="23"/>
        <v>0</v>
      </c>
      <c r="AL143" t="str">
        <f t="shared" si="32"/>
        <v>Same</v>
      </c>
      <c r="AQ143" s="23">
        <v>9298.25</v>
      </c>
    </row>
    <row r="144" spans="1:43" x14ac:dyDescent="0.2">
      <c r="A144" s="226" t="s">
        <v>114</v>
      </c>
      <c r="B144" s="9">
        <v>0</v>
      </c>
      <c r="C144" s="9">
        <v>0</v>
      </c>
      <c r="D144" s="9">
        <v>0</v>
      </c>
      <c r="E144" s="9"/>
      <c r="F144" s="9" t="s">
        <v>495</v>
      </c>
      <c r="G144" s="83">
        <v>79131</v>
      </c>
      <c r="H144" s="83">
        <f t="shared" si="29"/>
        <v>54000</v>
      </c>
      <c r="I144" s="133">
        <f t="shared" si="30"/>
        <v>0.68240000000000001</v>
      </c>
      <c r="J144" s="82">
        <v>4500</v>
      </c>
      <c r="K144" s="82">
        <v>4500</v>
      </c>
      <c r="L144" s="82">
        <v>4500</v>
      </c>
      <c r="M144" s="82">
        <v>4500</v>
      </c>
      <c r="N144" s="82">
        <v>4500</v>
      </c>
      <c r="O144" s="82">
        <v>4500</v>
      </c>
      <c r="P144" s="82">
        <v>4500</v>
      </c>
      <c r="Q144" s="82">
        <v>4500</v>
      </c>
      <c r="R144" s="82">
        <v>4500</v>
      </c>
      <c r="S144" s="23">
        <v>4500</v>
      </c>
      <c r="T144" s="23">
        <v>4500</v>
      </c>
      <c r="U144" s="23">
        <v>4500</v>
      </c>
      <c r="V144" s="7" t="s">
        <v>593</v>
      </c>
      <c r="W144" s="82">
        <f t="shared" si="31"/>
        <v>25131</v>
      </c>
      <c r="X144" s="79"/>
      <c r="Y144" s="4"/>
      <c r="Z144" s="4"/>
      <c r="AA144" s="82"/>
      <c r="AB144" s="82"/>
      <c r="AC144" s="82"/>
      <c r="AD144" s="23"/>
      <c r="AE144" s="7" t="s">
        <v>409</v>
      </c>
      <c r="AH144" s="23">
        <f>SUM('2021 Detail'!J138:U138)+SUM('2021 Detail'!AA138)</f>
        <v>54000</v>
      </c>
      <c r="AJ144" s="23">
        <f t="shared" si="23"/>
        <v>0</v>
      </c>
      <c r="AL144" t="str">
        <f t="shared" si="32"/>
        <v>Same</v>
      </c>
      <c r="AQ144" s="23">
        <v>4500</v>
      </c>
    </row>
    <row r="145" spans="1:44" x14ac:dyDescent="0.2">
      <c r="A145" s="226" t="s">
        <v>115</v>
      </c>
      <c r="B145" s="9" t="s">
        <v>495</v>
      </c>
      <c r="C145" s="9" t="s">
        <v>495</v>
      </c>
      <c r="D145" s="9" t="s">
        <v>495</v>
      </c>
      <c r="E145" s="9"/>
      <c r="F145" s="9">
        <v>0</v>
      </c>
      <c r="G145" s="83">
        <v>36231</v>
      </c>
      <c r="H145" s="83">
        <f t="shared" si="29"/>
        <v>20000</v>
      </c>
      <c r="I145" s="133">
        <f t="shared" si="30"/>
        <v>0.55200000000000005</v>
      </c>
      <c r="J145" s="82">
        <v>1000</v>
      </c>
      <c r="K145" s="82">
        <v>1000</v>
      </c>
      <c r="L145" s="82">
        <v>1000</v>
      </c>
      <c r="M145" s="82">
        <v>1000</v>
      </c>
      <c r="N145" s="82">
        <v>1000</v>
      </c>
      <c r="O145" s="82">
        <v>1000</v>
      </c>
      <c r="P145" s="82">
        <v>1000</v>
      </c>
      <c r="Q145" s="82">
        <v>1000</v>
      </c>
      <c r="R145" s="82">
        <v>1000</v>
      </c>
      <c r="S145" s="23">
        <v>1000</v>
      </c>
      <c r="T145" s="23">
        <v>1000</v>
      </c>
      <c r="U145" s="23">
        <v>9000</v>
      </c>
      <c r="V145" s="7" t="s">
        <v>594</v>
      </c>
      <c r="W145" s="82">
        <f t="shared" si="31"/>
        <v>16231</v>
      </c>
      <c r="X145" s="79"/>
      <c r="Y145" s="4"/>
      <c r="Z145" s="4"/>
      <c r="AA145" s="82"/>
      <c r="AB145" s="82"/>
      <c r="AC145" s="82"/>
      <c r="AD145" s="23"/>
      <c r="AE145" s="7" t="s">
        <v>404</v>
      </c>
      <c r="AH145" s="23">
        <f>SUM('2021 Detail'!J139:U139)+SUM('2021 Detail'!AA139)</f>
        <v>20000</v>
      </c>
      <c r="AJ145" s="23">
        <f t="shared" si="23"/>
        <v>0</v>
      </c>
      <c r="AL145" t="str">
        <f t="shared" si="32"/>
        <v>Same</v>
      </c>
      <c r="AQ145" s="23">
        <v>9500</v>
      </c>
    </row>
    <row r="146" spans="1:44" x14ac:dyDescent="0.2">
      <c r="A146" s="226" t="s">
        <v>116</v>
      </c>
      <c r="B146" s="9">
        <v>0</v>
      </c>
      <c r="C146" s="9" t="s">
        <v>495</v>
      </c>
      <c r="D146" s="9" t="s">
        <v>495</v>
      </c>
      <c r="E146" s="9"/>
      <c r="F146" s="9" t="s">
        <v>495</v>
      </c>
      <c r="G146" s="83">
        <v>47588</v>
      </c>
      <c r="H146" s="83">
        <f t="shared" si="29"/>
        <v>10000</v>
      </c>
      <c r="I146" s="133">
        <f t="shared" si="30"/>
        <v>0.21010000000000001</v>
      </c>
      <c r="J146" s="82">
        <v>1500</v>
      </c>
      <c r="K146" s="82"/>
      <c r="L146" s="82"/>
      <c r="M146" s="82"/>
      <c r="N146" s="82"/>
      <c r="O146" s="82"/>
      <c r="P146" s="82"/>
      <c r="Q146" s="82">
        <v>3000</v>
      </c>
      <c r="R146" s="82"/>
      <c r="S146" s="23"/>
      <c r="T146" s="23"/>
      <c r="U146" s="82">
        <v>5500</v>
      </c>
      <c r="V146" s="7" t="s">
        <v>595</v>
      </c>
      <c r="W146" s="82">
        <f t="shared" si="31"/>
        <v>37588</v>
      </c>
      <c r="X146" s="79"/>
      <c r="Y146" s="4"/>
      <c r="Z146" s="4"/>
      <c r="AA146" s="82"/>
      <c r="AB146" s="82"/>
      <c r="AC146" s="82"/>
      <c r="AD146" s="23"/>
      <c r="AE146" s="7" t="s">
        <v>404</v>
      </c>
      <c r="AH146" s="23">
        <f>SUM('2021 Detail'!J140:U140)+SUM('2021 Detail'!AA140)</f>
        <v>15000</v>
      </c>
      <c r="AJ146" s="23">
        <f t="shared" si="23"/>
        <v>-5000</v>
      </c>
      <c r="AL146" t="str">
        <f t="shared" si="32"/>
        <v>Down</v>
      </c>
      <c r="AQ146" s="23">
        <v>4500</v>
      </c>
    </row>
    <row r="147" spans="1:44" x14ac:dyDescent="0.2">
      <c r="A147" s="226" t="s">
        <v>117</v>
      </c>
      <c r="B147" s="9" t="s">
        <v>495</v>
      </c>
      <c r="C147" s="9" t="s">
        <v>495</v>
      </c>
      <c r="D147" s="9" t="s">
        <v>495</v>
      </c>
      <c r="E147" s="9"/>
      <c r="F147" s="9">
        <v>0</v>
      </c>
      <c r="G147" s="83">
        <v>90610</v>
      </c>
      <c r="H147" s="83">
        <f t="shared" si="29"/>
        <v>90610</v>
      </c>
      <c r="I147" s="133">
        <f t="shared" si="30"/>
        <v>1</v>
      </c>
      <c r="J147" s="82">
        <v>7560</v>
      </c>
      <c r="K147" s="82">
        <v>7550</v>
      </c>
      <c r="L147" s="82">
        <v>7550</v>
      </c>
      <c r="M147" s="82">
        <v>7550</v>
      </c>
      <c r="N147" s="82">
        <v>7550</v>
      </c>
      <c r="O147" s="82">
        <v>7550</v>
      </c>
      <c r="P147" s="82">
        <v>7550</v>
      </c>
      <c r="Q147" s="82">
        <v>7550</v>
      </c>
      <c r="R147" s="82">
        <v>7550</v>
      </c>
      <c r="S147" s="23">
        <v>7550</v>
      </c>
      <c r="T147" s="23">
        <v>7550</v>
      </c>
      <c r="U147" s="82">
        <v>7550</v>
      </c>
      <c r="V147" s="7" t="s">
        <v>596</v>
      </c>
      <c r="W147" s="82">
        <f t="shared" si="31"/>
        <v>0</v>
      </c>
      <c r="X147" s="79"/>
      <c r="Y147" s="4"/>
      <c r="Z147" s="4"/>
      <c r="AA147" s="82"/>
      <c r="AB147" s="82"/>
      <c r="AC147" s="82"/>
      <c r="AD147" s="23"/>
      <c r="AE147" s="7" t="s">
        <v>410</v>
      </c>
      <c r="AH147" s="23">
        <f>SUM('2021 Detail'!J141:U141)+SUM('2021 Detail'!AA141)</f>
        <v>90610</v>
      </c>
      <c r="AJ147" s="23">
        <f t="shared" si="23"/>
        <v>0</v>
      </c>
      <c r="AL147" t="str">
        <f t="shared" si="32"/>
        <v>Same</v>
      </c>
      <c r="AQ147" s="23">
        <v>7550</v>
      </c>
    </row>
    <row r="148" spans="1:44" x14ac:dyDescent="0.2">
      <c r="A148" s="226" t="s">
        <v>118</v>
      </c>
      <c r="B148" s="9" t="s">
        <v>495</v>
      </c>
      <c r="C148" s="9" t="s">
        <v>495</v>
      </c>
      <c r="D148" s="9" t="s">
        <v>495</v>
      </c>
      <c r="E148" s="9"/>
      <c r="F148" s="9">
        <v>0</v>
      </c>
      <c r="G148" s="83">
        <v>44743</v>
      </c>
      <c r="H148" s="83">
        <f t="shared" si="29"/>
        <v>39000</v>
      </c>
      <c r="I148" s="133">
        <f t="shared" si="30"/>
        <v>0.87160000000000004</v>
      </c>
      <c r="J148" s="82">
        <v>3000</v>
      </c>
      <c r="K148" s="82">
        <v>3000</v>
      </c>
      <c r="L148" s="82">
        <v>3000</v>
      </c>
      <c r="M148" s="82">
        <v>3000</v>
      </c>
      <c r="N148" s="82">
        <v>3000</v>
      </c>
      <c r="O148" s="82">
        <v>3000</v>
      </c>
      <c r="P148" s="82">
        <v>3500</v>
      </c>
      <c r="Q148" s="82">
        <v>3500</v>
      </c>
      <c r="R148" s="82">
        <v>3500</v>
      </c>
      <c r="S148" s="23">
        <v>3500</v>
      </c>
      <c r="T148" s="23">
        <v>3500</v>
      </c>
      <c r="U148" s="23">
        <v>3500</v>
      </c>
      <c r="V148" s="7" t="s">
        <v>597</v>
      </c>
      <c r="W148" s="82">
        <f t="shared" si="31"/>
        <v>5743</v>
      </c>
      <c r="X148" s="79"/>
      <c r="Y148" s="4"/>
      <c r="Z148" s="4"/>
      <c r="AA148" s="82"/>
      <c r="AB148" s="82"/>
      <c r="AC148" s="82"/>
      <c r="AD148" s="23"/>
      <c r="AE148" s="7" t="s">
        <v>400</v>
      </c>
      <c r="AH148" s="23">
        <f>SUM('2021 Detail'!J142:U142)+SUM('2021 Detail'!AA142)</f>
        <v>37500</v>
      </c>
      <c r="AJ148" s="23">
        <f t="shared" si="23"/>
        <v>1500</v>
      </c>
      <c r="AL148" t="str">
        <f t="shared" si="32"/>
        <v>Up</v>
      </c>
      <c r="AQ148" s="23">
        <v>13000</v>
      </c>
    </row>
    <row r="149" spans="1:44" x14ac:dyDescent="0.2">
      <c r="A149" s="226" t="s">
        <v>119</v>
      </c>
      <c r="B149" s="9" t="s">
        <v>495</v>
      </c>
      <c r="C149" s="9" t="s">
        <v>495</v>
      </c>
      <c r="D149" s="9" t="s">
        <v>495</v>
      </c>
      <c r="E149" s="9"/>
      <c r="F149" s="9">
        <v>0</v>
      </c>
      <c r="G149" s="83">
        <v>28395</v>
      </c>
      <c r="H149" s="83">
        <f t="shared" si="29"/>
        <v>26001.58</v>
      </c>
      <c r="I149" s="133">
        <f t="shared" si="30"/>
        <v>0.91569999999999996</v>
      </c>
      <c r="J149" s="82">
        <v>1083.3399999999999</v>
      </c>
      <c r="K149" s="82">
        <v>2083.34</v>
      </c>
      <c r="L149" s="82">
        <v>4083.34</v>
      </c>
      <c r="M149" s="82">
        <v>2083.34</v>
      </c>
      <c r="N149" s="82">
        <v>1083.3399999999999</v>
      </c>
      <c r="O149" s="82">
        <v>1000</v>
      </c>
      <c r="P149" s="82">
        <v>4166.68</v>
      </c>
      <c r="Q149" s="82"/>
      <c r="R149" s="82">
        <v>2000</v>
      </c>
      <c r="S149" s="23">
        <v>3166.68</v>
      </c>
      <c r="T149" s="23">
        <v>3167.68</v>
      </c>
      <c r="U149" s="23">
        <v>2083.84</v>
      </c>
      <c r="V149" s="7" t="s">
        <v>598</v>
      </c>
      <c r="W149" s="82">
        <f t="shared" si="31"/>
        <v>2393.4199999999983</v>
      </c>
      <c r="X149" s="79"/>
      <c r="Y149" s="4"/>
      <c r="Z149" s="4"/>
      <c r="AA149" s="82"/>
      <c r="AB149" s="82"/>
      <c r="AC149" s="82"/>
      <c r="AD149" s="23"/>
      <c r="AE149" s="7" t="s">
        <v>411</v>
      </c>
      <c r="AH149" s="23">
        <f>SUM('2021 Detail'!J143:U143)+SUM('2021 Detail'!AA143)</f>
        <v>25545.33</v>
      </c>
      <c r="AJ149" s="23">
        <f t="shared" si="23"/>
        <v>456.25</v>
      </c>
      <c r="AL149" t="str">
        <f t="shared" si="32"/>
        <v>Up</v>
      </c>
      <c r="AQ149" s="23">
        <v>2309.38</v>
      </c>
    </row>
    <row r="150" spans="1:44" x14ac:dyDescent="0.2">
      <c r="A150" s="226" t="s">
        <v>120</v>
      </c>
      <c r="B150" s="9" t="s">
        <v>495</v>
      </c>
      <c r="C150" s="9" t="s">
        <v>495</v>
      </c>
      <c r="D150" s="9">
        <v>0</v>
      </c>
      <c r="E150" s="9"/>
      <c r="F150" s="9" t="s">
        <v>495</v>
      </c>
      <c r="G150" s="83">
        <v>113604</v>
      </c>
      <c r="H150" s="83">
        <f t="shared" si="29"/>
        <v>55000</v>
      </c>
      <c r="I150" s="133">
        <f t="shared" si="30"/>
        <v>0.48409999999999997</v>
      </c>
      <c r="J150" s="82">
        <v>5000</v>
      </c>
      <c r="K150" s="82">
        <v>5000</v>
      </c>
      <c r="L150" s="82">
        <v>5000</v>
      </c>
      <c r="M150" s="82">
        <v>5000</v>
      </c>
      <c r="N150" s="82">
        <v>5000</v>
      </c>
      <c r="O150" s="82">
        <v>5000</v>
      </c>
      <c r="P150" s="82">
        <v>5000</v>
      </c>
      <c r="Q150" s="82">
        <v>5000</v>
      </c>
      <c r="R150" s="82">
        <v>5000</v>
      </c>
      <c r="S150" s="23">
        <v>5000</v>
      </c>
      <c r="T150" s="23">
        <v>5000</v>
      </c>
      <c r="U150" s="23"/>
      <c r="V150" s="7" t="s">
        <v>599</v>
      </c>
      <c r="W150" s="82">
        <f t="shared" si="31"/>
        <v>58604</v>
      </c>
      <c r="X150" s="79"/>
      <c r="Y150" s="4"/>
      <c r="Z150" s="4"/>
      <c r="AA150" s="82"/>
      <c r="AB150" s="82"/>
      <c r="AC150" s="82"/>
      <c r="AD150" s="23"/>
      <c r="AE150" s="7" t="s">
        <v>412</v>
      </c>
      <c r="AH150" s="23">
        <f>SUM('2021 Detail'!J144:U144)+SUM('2021 Detail'!AA144)</f>
        <v>54000</v>
      </c>
      <c r="AJ150" s="23">
        <f t="shared" si="23"/>
        <v>1000</v>
      </c>
      <c r="AL150" t="str">
        <f t="shared" si="32"/>
        <v>Up</v>
      </c>
      <c r="AQ150" s="23">
        <v>5000</v>
      </c>
    </row>
    <row r="151" spans="1:44" x14ac:dyDescent="0.2">
      <c r="A151" s="226" t="s">
        <v>121</v>
      </c>
      <c r="B151" s="9" t="s">
        <v>495</v>
      </c>
      <c r="C151" s="9" t="s">
        <v>495</v>
      </c>
      <c r="D151" s="9" t="s">
        <v>495</v>
      </c>
      <c r="E151" s="9"/>
      <c r="F151" s="9">
        <v>0</v>
      </c>
      <c r="G151" s="83">
        <v>28510</v>
      </c>
      <c r="H151" s="83">
        <f t="shared" si="29"/>
        <v>15000</v>
      </c>
      <c r="I151" s="133">
        <f t="shared" si="30"/>
        <v>0.52610000000000001</v>
      </c>
      <c r="J151" s="82">
        <v>0</v>
      </c>
      <c r="K151" s="82">
        <v>2000</v>
      </c>
      <c r="L151" s="82">
        <v>1000</v>
      </c>
      <c r="M151" s="82">
        <v>1000</v>
      </c>
      <c r="N151" s="82">
        <v>1000</v>
      </c>
      <c r="O151" s="82">
        <v>1000</v>
      </c>
      <c r="P151" s="82">
        <v>1000</v>
      </c>
      <c r="Q151" s="82">
        <v>1000</v>
      </c>
      <c r="R151" s="82">
        <v>1000</v>
      </c>
      <c r="S151" s="23"/>
      <c r="T151" s="23">
        <v>3000</v>
      </c>
      <c r="U151" s="23">
        <v>3000</v>
      </c>
      <c r="V151" s="7" t="s">
        <v>600</v>
      </c>
      <c r="W151" s="82">
        <f t="shared" si="31"/>
        <v>13510</v>
      </c>
      <c r="X151" s="79"/>
      <c r="Y151" s="4"/>
      <c r="Z151" s="4"/>
      <c r="AA151" s="82"/>
      <c r="AB151" s="82"/>
      <c r="AC151" s="82"/>
      <c r="AD151" s="23"/>
      <c r="AE151" s="7" t="s">
        <v>415</v>
      </c>
      <c r="AH151" s="23">
        <f>SUM('2021 Detail'!J145:U145)+SUM('2021 Detail'!AA145)</f>
        <v>23000</v>
      </c>
      <c r="AJ151" s="23">
        <f t="shared" si="23"/>
        <v>-8000</v>
      </c>
      <c r="AL151" t="str">
        <f t="shared" si="32"/>
        <v>Down</v>
      </c>
      <c r="AQ151" s="23">
        <v>3660</v>
      </c>
    </row>
    <row r="152" spans="1:44" x14ac:dyDescent="0.2">
      <c r="A152" s="226" t="s">
        <v>123</v>
      </c>
      <c r="B152" s="9" t="s">
        <v>495</v>
      </c>
      <c r="C152" s="9" t="s">
        <v>495</v>
      </c>
      <c r="D152" s="9" t="s">
        <v>495</v>
      </c>
      <c r="E152" s="9"/>
      <c r="F152" s="9">
        <v>0</v>
      </c>
      <c r="G152" s="83">
        <v>23780</v>
      </c>
      <c r="H152" s="83">
        <f t="shared" si="29"/>
        <v>21000</v>
      </c>
      <c r="I152" s="133">
        <f t="shared" si="30"/>
        <v>0.8831</v>
      </c>
      <c r="J152" s="82">
        <v>0</v>
      </c>
      <c r="K152" s="82"/>
      <c r="L152" s="82"/>
      <c r="M152" s="82">
        <v>5250</v>
      </c>
      <c r="N152" s="82"/>
      <c r="O152" s="82">
        <v>3500</v>
      </c>
      <c r="P152" s="82">
        <v>1750</v>
      </c>
      <c r="Q152" s="82">
        <v>1750</v>
      </c>
      <c r="R152" s="82">
        <v>1750</v>
      </c>
      <c r="S152" s="23">
        <v>1750</v>
      </c>
      <c r="T152" s="23">
        <v>3500</v>
      </c>
      <c r="U152" s="23">
        <v>1750</v>
      </c>
      <c r="V152" s="7" t="s">
        <v>602</v>
      </c>
      <c r="W152" s="82">
        <f t="shared" si="31"/>
        <v>2780</v>
      </c>
      <c r="X152" s="79"/>
      <c r="Y152" s="4"/>
      <c r="Z152" s="4"/>
      <c r="AA152" s="82"/>
      <c r="AB152" s="82"/>
      <c r="AC152" s="82"/>
      <c r="AD152" s="23"/>
      <c r="AE152" s="7" t="s">
        <v>413</v>
      </c>
      <c r="AH152" s="23">
        <f>SUM('2021 Detail'!J147:U147)+SUM('2021 Detail'!AA147)</f>
        <v>21000</v>
      </c>
      <c r="AJ152" s="23">
        <f t="shared" si="23"/>
        <v>0</v>
      </c>
      <c r="AL152" t="str">
        <f t="shared" si="32"/>
        <v>Same</v>
      </c>
      <c r="AQ152" s="23">
        <v>2250</v>
      </c>
    </row>
    <row r="153" spans="1:44" x14ac:dyDescent="0.2">
      <c r="A153" s="226" t="s">
        <v>124</v>
      </c>
      <c r="B153" s="9" t="s">
        <v>495</v>
      </c>
      <c r="C153" s="9">
        <v>0</v>
      </c>
      <c r="D153" s="9">
        <v>0</v>
      </c>
      <c r="E153" s="9"/>
      <c r="F153" s="9">
        <v>0</v>
      </c>
      <c r="G153" s="83">
        <v>23785</v>
      </c>
      <c r="H153" s="83">
        <f t="shared" si="29"/>
        <v>24215</v>
      </c>
      <c r="I153" s="133">
        <f t="shared" si="30"/>
        <v>1.0181</v>
      </c>
      <c r="J153" s="82">
        <v>2215</v>
      </c>
      <c r="K153" s="82">
        <v>2000</v>
      </c>
      <c r="L153" s="82">
        <v>2000</v>
      </c>
      <c r="M153" s="82">
        <v>2000</v>
      </c>
      <c r="N153" s="82">
        <v>2000</v>
      </c>
      <c r="O153" s="82">
        <v>2000</v>
      </c>
      <c r="P153" s="82">
        <v>2000</v>
      </c>
      <c r="Q153" s="82">
        <v>2000</v>
      </c>
      <c r="R153" s="82">
        <v>2000</v>
      </c>
      <c r="S153" s="23">
        <v>2000</v>
      </c>
      <c r="T153" s="23">
        <v>2000</v>
      </c>
      <c r="U153" s="23">
        <v>2000</v>
      </c>
      <c r="V153" s="7" t="s">
        <v>603</v>
      </c>
      <c r="W153" s="82">
        <f t="shared" si="31"/>
        <v>-430</v>
      </c>
      <c r="X153" s="79"/>
      <c r="Y153" s="4"/>
      <c r="Z153" s="4"/>
      <c r="AA153" s="82"/>
      <c r="AB153" s="82"/>
      <c r="AC153" s="82"/>
      <c r="AD153" s="23"/>
      <c r="AE153" s="7" t="s">
        <v>414</v>
      </c>
      <c r="AH153" s="23">
        <f>SUM('2021 Detail'!J148:U148)+SUM('2021 Detail'!AA148)</f>
        <v>23785</v>
      </c>
      <c r="AJ153" s="23">
        <f t="shared" si="23"/>
        <v>430</v>
      </c>
      <c r="AL153" t="str">
        <f t="shared" si="32"/>
        <v>Up</v>
      </c>
      <c r="AQ153" s="23">
        <v>1785</v>
      </c>
      <c r="AR153" t="s">
        <v>1115</v>
      </c>
    </row>
    <row r="154" spans="1:44" x14ac:dyDescent="0.2">
      <c r="A154" s="226" t="s">
        <v>125</v>
      </c>
      <c r="B154" s="9" t="s">
        <v>495</v>
      </c>
      <c r="C154" s="9" t="s">
        <v>495</v>
      </c>
      <c r="D154" s="9" t="s">
        <v>495</v>
      </c>
      <c r="E154" s="9"/>
      <c r="F154" s="9" t="s">
        <v>495</v>
      </c>
      <c r="G154" s="83">
        <v>69036</v>
      </c>
      <c r="H154" s="83">
        <f t="shared" si="29"/>
        <v>40000</v>
      </c>
      <c r="I154" s="133">
        <f t="shared" si="30"/>
        <v>0.57940000000000003</v>
      </c>
      <c r="J154" s="82">
        <v>3000</v>
      </c>
      <c r="K154" s="82">
        <v>3000</v>
      </c>
      <c r="L154" s="82">
        <v>3000</v>
      </c>
      <c r="M154" s="82">
        <v>3000</v>
      </c>
      <c r="N154" s="82">
        <v>3000</v>
      </c>
      <c r="O154" s="82">
        <v>3000</v>
      </c>
      <c r="P154" s="82">
        <v>3000</v>
      </c>
      <c r="Q154" s="82">
        <v>3000</v>
      </c>
      <c r="R154" s="82">
        <v>3000</v>
      </c>
      <c r="S154" s="23">
        <v>3000</v>
      </c>
      <c r="T154" s="23">
        <v>3000</v>
      </c>
      <c r="U154" s="23">
        <v>7000</v>
      </c>
      <c r="V154" s="7" t="s">
        <v>604</v>
      </c>
      <c r="W154" s="82">
        <f t="shared" si="31"/>
        <v>29036</v>
      </c>
      <c r="X154" s="79"/>
      <c r="Y154" s="4"/>
      <c r="Z154" s="4"/>
      <c r="AA154" s="82"/>
      <c r="AB154" s="82"/>
      <c r="AC154" s="82"/>
      <c r="AD154" s="23"/>
      <c r="AE154" s="7" t="s">
        <v>415</v>
      </c>
      <c r="AH154" s="23">
        <f>SUM('2021 Detail'!J149:U149)+SUM('2021 Detail'!AA149)</f>
        <v>36000</v>
      </c>
      <c r="AJ154" s="23">
        <f t="shared" si="23"/>
        <v>4000</v>
      </c>
      <c r="AL154" t="str">
        <f t="shared" si="32"/>
        <v>Up</v>
      </c>
      <c r="AQ154" s="23">
        <v>3000</v>
      </c>
    </row>
    <row r="155" spans="1:44" x14ac:dyDescent="0.2">
      <c r="A155" s="226" t="s">
        <v>126</v>
      </c>
      <c r="B155" s="9" t="s">
        <v>495</v>
      </c>
      <c r="C155" s="9" t="s">
        <v>495</v>
      </c>
      <c r="D155" s="9">
        <v>0</v>
      </c>
      <c r="E155" s="9"/>
      <c r="F155" s="9">
        <v>0</v>
      </c>
      <c r="G155" s="83">
        <v>28395</v>
      </c>
      <c r="H155" s="83">
        <f t="shared" si="29"/>
        <v>15500</v>
      </c>
      <c r="I155" s="133">
        <f t="shared" si="30"/>
        <v>0.54590000000000005</v>
      </c>
      <c r="J155" s="82">
        <v>2000</v>
      </c>
      <c r="K155" s="82"/>
      <c r="L155" s="82">
        <v>1500</v>
      </c>
      <c r="M155" s="82"/>
      <c r="N155" s="82"/>
      <c r="O155" s="82">
        <v>3000</v>
      </c>
      <c r="P155" s="82"/>
      <c r="Q155" s="82">
        <v>3000</v>
      </c>
      <c r="R155" s="82">
        <v>3000</v>
      </c>
      <c r="S155" s="23"/>
      <c r="T155" s="23">
        <v>3000</v>
      </c>
      <c r="U155" s="23">
        <v>0</v>
      </c>
      <c r="V155" s="7" t="s">
        <v>605</v>
      </c>
      <c r="W155" s="82">
        <f t="shared" si="31"/>
        <v>12895</v>
      </c>
      <c r="X155" s="79"/>
      <c r="Y155" s="4"/>
      <c r="Z155" s="4"/>
      <c r="AA155" s="82"/>
      <c r="AB155" s="82"/>
      <c r="AC155" s="82"/>
      <c r="AD155" s="23"/>
      <c r="AE155" s="7" t="s">
        <v>411</v>
      </c>
      <c r="AH155" s="23">
        <f>SUM('2021 Detail'!J150:U150)+SUM('2021 Detail'!AA150)</f>
        <v>19500</v>
      </c>
      <c r="AJ155" s="23">
        <f t="shared" si="23"/>
        <v>-4000</v>
      </c>
      <c r="AL155" t="str">
        <f t="shared" si="32"/>
        <v>Down</v>
      </c>
      <c r="AQ155" s="23">
        <v>2000</v>
      </c>
    </row>
    <row r="156" spans="1:44" x14ac:dyDescent="0.2">
      <c r="A156" s="226" t="s">
        <v>127</v>
      </c>
      <c r="B156" s="9">
        <v>0</v>
      </c>
      <c r="C156" s="9" t="s">
        <v>495</v>
      </c>
      <c r="D156" s="9" t="s">
        <v>495</v>
      </c>
      <c r="E156" s="9"/>
      <c r="F156" s="9" t="s">
        <v>495</v>
      </c>
      <c r="G156" s="83">
        <v>28505</v>
      </c>
      <c r="H156" s="83">
        <f t="shared" si="29"/>
        <v>27600</v>
      </c>
      <c r="I156" s="133">
        <f t="shared" si="30"/>
        <v>0.96830000000000005</v>
      </c>
      <c r="J156" s="82">
        <v>2300</v>
      </c>
      <c r="K156" s="82">
        <v>2300</v>
      </c>
      <c r="L156" s="82">
        <v>2300</v>
      </c>
      <c r="M156" s="82">
        <v>2300</v>
      </c>
      <c r="N156" s="82">
        <v>2300</v>
      </c>
      <c r="O156" s="82">
        <v>2300</v>
      </c>
      <c r="P156" s="82">
        <v>2300</v>
      </c>
      <c r="Q156" s="82">
        <v>2300</v>
      </c>
      <c r="R156" s="82">
        <v>2300</v>
      </c>
      <c r="S156" s="23">
        <v>2300</v>
      </c>
      <c r="T156" s="23">
        <v>2300</v>
      </c>
      <c r="U156" s="23">
        <v>2300</v>
      </c>
      <c r="V156" s="7" t="s">
        <v>606</v>
      </c>
      <c r="W156" s="82">
        <f t="shared" si="31"/>
        <v>905</v>
      </c>
      <c r="X156" s="79"/>
      <c r="Y156" s="4"/>
      <c r="Z156" s="4"/>
      <c r="AA156" s="82"/>
      <c r="AB156" s="82"/>
      <c r="AC156" s="82"/>
      <c r="AD156" s="23"/>
      <c r="AE156" s="7" t="s">
        <v>416</v>
      </c>
      <c r="AH156" s="23">
        <f>SUM('2021 Detail'!J151:U151)+SUM('2021 Detail'!AA151)</f>
        <v>13800</v>
      </c>
      <c r="AJ156" s="23">
        <f t="shared" si="23"/>
        <v>13800</v>
      </c>
      <c r="AL156" t="str">
        <f t="shared" si="32"/>
        <v>Up</v>
      </c>
      <c r="AQ156" s="23">
        <v>2300</v>
      </c>
    </row>
    <row r="157" spans="1:44" x14ac:dyDescent="0.2">
      <c r="A157" s="226" t="s">
        <v>128</v>
      </c>
      <c r="B157" s="9" t="s">
        <v>495</v>
      </c>
      <c r="C157" s="9" t="s">
        <v>495</v>
      </c>
      <c r="D157" s="9" t="s">
        <v>495</v>
      </c>
      <c r="E157" s="9"/>
      <c r="F157" s="9">
        <v>0</v>
      </c>
      <c r="G157" s="83">
        <v>65787</v>
      </c>
      <c r="H157" s="83">
        <f t="shared" si="29"/>
        <v>32787</v>
      </c>
      <c r="I157" s="133">
        <f t="shared" si="30"/>
        <v>0.49840000000000001</v>
      </c>
      <c r="J157" s="82">
        <v>0</v>
      </c>
      <c r="K157" s="82">
        <v>3600</v>
      </c>
      <c r="L157" s="82">
        <v>3487</v>
      </c>
      <c r="M157" s="82">
        <v>1900</v>
      </c>
      <c r="N157" s="82"/>
      <c r="O157" s="82">
        <v>6500</v>
      </c>
      <c r="P157" s="82"/>
      <c r="Q157" s="82">
        <v>5000</v>
      </c>
      <c r="R157" s="82">
        <v>4500</v>
      </c>
      <c r="S157" s="23">
        <v>2300</v>
      </c>
      <c r="T157" s="23"/>
      <c r="U157" s="23">
        <v>5500</v>
      </c>
      <c r="V157" s="7" t="s">
        <v>607</v>
      </c>
      <c r="W157" s="82">
        <f t="shared" si="31"/>
        <v>33000</v>
      </c>
      <c r="X157" s="79"/>
      <c r="Y157" s="4"/>
      <c r="Z157" s="4"/>
      <c r="AA157" s="82"/>
      <c r="AB157" s="82"/>
      <c r="AC157" s="82"/>
      <c r="AD157" s="23"/>
      <c r="AE157" s="7" t="s">
        <v>417</v>
      </c>
      <c r="AH157" s="23">
        <f>SUM('2021 Detail'!J152:U152)+SUM('2021 Detail'!AA152)</f>
        <v>46310</v>
      </c>
      <c r="AJ157" s="23">
        <f t="shared" si="23"/>
        <v>-13523</v>
      </c>
      <c r="AL157" t="str">
        <f t="shared" si="32"/>
        <v>Down</v>
      </c>
      <c r="AQ157" s="23">
        <v>5150</v>
      </c>
    </row>
    <row r="158" spans="1:44" x14ac:dyDescent="0.2">
      <c r="A158" s="226" t="s">
        <v>129</v>
      </c>
      <c r="B158" s="9" t="s">
        <v>495</v>
      </c>
      <c r="C158" s="9" t="s">
        <v>495</v>
      </c>
      <c r="D158" s="9" t="s">
        <v>495</v>
      </c>
      <c r="E158" s="9"/>
      <c r="F158" s="9" t="s">
        <v>495</v>
      </c>
      <c r="G158" s="83">
        <v>6000</v>
      </c>
      <c r="H158" s="83">
        <f t="shared" si="29"/>
        <v>6000</v>
      </c>
      <c r="I158" s="133">
        <f t="shared" si="30"/>
        <v>1</v>
      </c>
      <c r="J158" s="82">
        <v>500</v>
      </c>
      <c r="K158" s="82">
        <v>500</v>
      </c>
      <c r="L158" s="82">
        <v>500</v>
      </c>
      <c r="M158" s="82">
        <v>500</v>
      </c>
      <c r="N158" s="82">
        <v>500</v>
      </c>
      <c r="O158" s="82">
        <v>500</v>
      </c>
      <c r="P158" s="82">
        <v>500</v>
      </c>
      <c r="Q158" s="82">
        <v>500</v>
      </c>
      <c r="R158" s="82">
        <v>500</v>
      </c>
      <c r="S158" s="23">
        <v>500</v>
      </c>
      <c r="T158" s="23">
        <v>500</v>
      </c>
      <c r="U158" s="23">
        <v>500</v>
      </c>
      <c r="V158" s="7" t="s">
        <v>608</v>
      </c>
      <c r="W158" s="82">
        <f t="shared" si="31"/>
        <v>0</v>
      </c>
      <c r="X158" s="79"/>
      <c r="Y158" s="4"/>
      <c r="Z158" s="4"/>
      <c r="AA158" s="82"/>
      <c r="AB158" s="82"/>
      <c r="AC158" s="82"/>
      <c r="AD158" s="23"/>
      <c r="AE158" s="7" t="s">
        <v>413</v>
      </c>
      <c r="AH158" s="23">
        <f>SUM('2021 Detail'!J153:U153)+SUM('2021 Detail'!AA153)</f>
        <v>6000</v>
      </c>
      <c r="AJ158" s="23">
        <f t="shared" si="23"/>
        <v>0</v>
      </c>
      <c r="AL158" t="str">
        <f t="shared" si="32"/>
        <v>Same</v>
      </c>
      <c r="AQ158" s="23">
        <v>560</v>
      </c>
    </row>
    <row r="159" spans="1:44" x14ac:dyDescent="0.2">
      <c r="A159" s="226" t="s">
        <v>130</v>
      </c>
      <c r="B159" s="9" t="s">
        <v>495</v>
      </c>
      <c r="C159" s="9" t="s">
        <v>495</v>
      </c>
      <c r="D159" s="9" t="s">
        <v>495</v>
      </c>
      <c r="E159" s="9"/>
      <c r="F159" s="9">
        <v>0</v>
      </c>
      <c r="G159" s="83">
        <v>64599</v>
      </c>
      <c r="H159" s="83">
        <f>SUM(J159:U159)+SUM(AA159:AC159)</f>
        <v>23114</v>
      </c>
      <c r="I159" s="133">
        <f t="shared" si="30"/>
        <v>0.35780000000000001</v>
      </c>
      <c r="J159" s="82">
        <v>778.5</v>
      </c>
      <c r="K159" s="82">
        <v>778.5</v>
      </c>
      <c r="L159" s="82">
        <v>778.5</v>
      </c>
      <c r="M159" s="82">
        <v>778.5</v>
      </c>
      <c r="N159" s="82">
        <v>2500</v>
      </c>
      <c r="O159" s="82">
        <v>2500</v>
      </c>
      <c r="P159" s="82">
        <v>2500</v>
      </c>
      <c r="Q159" s="82">
        <v>2500</v>
      </c>
      <c r="R159" s="82">
        <v>2500</v>
      </c>
      <c r="S159" s="23">
        <v>2500</v>
      </c>
      <c r="T159" s="23">
        <v>2500</v>
      </c>
      <c r="U159" s="23">
        <v>2500</v>
      </c>
      <c r="V159" s="7" t="s">
        <v>609</v>
      </c>
      <c r="W159" s="82">
        <f t="shared" si="31"/>
        <v>41485</v>
      </c>
      <c r="X159" s="79"/>
      <c r="Y159" s="4"/>
      <c r="Z159" s="4"/>
      <c r="AA159" s="82"/>
      <c r="AB159" s="82"/>
      <c r="AC159" s="82"/>
      <c r="AD159" s="23"/>
      <c r="AE159" s="7" t="s">
        <v>418</v>
      </c>
      <c r="AH159" s="23">
        <f>SUM('2021 Detail'!J154:U154)+SUM('2021 Detail'!AA154)</f>
        <v>22500</v>
      </c>
      <c r="AJ159" s="23">
        <f t="shared" si="23"/>
        <v>614</v>
      </c>
      <c r="AL159" t="str">
        <f t="shared" si="32"/>
        <v>Up</v>
      </c>
    </row>
    <row r="160" spans="1:44" x14ac:dyDescent="0.2">
      <c r="A160" s="226" t="s">
        <v>376</v>
      </c>
      <c r="B160" s="9" t="s">
        <v>495</v>
      </c>
      <c r="C160" s="9" t="s">
        <v>495</v>
      </c>
      <c r="D160" s="9" t="s">
        <v>495</v>
      </c>
      <c r="E160" s="9"/>
      <c r="F160" s="9">
        <v>0</v>
      </c>
      <c r="G160" s="83">
        <v>21842</v>
      </c>
      <c r="H160" s="83">
        <f t="shared" si="29"/>
        <v>18000</v>
      </c>
      <c r="I160" s="133">
        <f t="shared" si="30"/>
        <v>0.82410000000000005</v>
      </c>
      <c r="J160" s="82">
        <v>0</v>
      </c>
      <c r="K160" s="82"/>
      <c r="L160" s="82"/>
      <c r="M160" s="82"/>
      <c r="N160" s="82"/>
      <c r="O160" s="82"/>
      <c r="P160" s="82">
        <v>3000</v>
      </c>
      <c r="Q160" s="82">
        <v>1000</v>
      </c>
      <c r="R160" s="82"/>
      <c r="S160" s="23">
        <v>500</v>
      </c>
      <c r="T160" s="23"/>
      <c r="U160" s="23">
        <v>13500</v>
      </c>
      <c r="V160" s="7" t="s">
        <v>377</v>
      </c>
      <c r="W160" s="82">
        <f t="shared" si="31"/>
        <v>3842</v>
      </c>
      <c r="X160" s="79"/>
      <c r="Y160" s="4"/>
      <c r="Z160" s="4"/>
      <c r="AA160" s="82"/>
      <c r="AB160" s="82"/>
      <c r="AC160" s="82"/>
      <c r="AD160" s="23"/>
      <c r="AE160" s="7" t="s">
        <v>1131</v>
      </c>
      <c r="AH160" s="23">
        <f>SUM('2021 Detail'!J155:U155)+SUM('2021 Detail'!AA155)</f>
        <v>6000</v>
      </c>
      <c r="AJ160" s="23">
        <f t="shared" ref="AJ160:AJ218" si="33">H160-AH160</f>
        <v>12000</v>
      </c>
      <c r="AL160" t="str">
        <f t="shared" si="32"/>
        <v>Up</v>
      </c>
      <c r="AQ160" s="23">
        <v>2150</v>
      </c>
    </row>
    <row r="161" spans="1:43" x14ac:dyDescent="0.2">
      <c r="G161" s="83"/>
      <c r="H161" s="83"/>
      <c r="I161" s="133"/>
      <c r="X161" s="79"/>
      <c r="Y161" s="4"/>
      <c r="Z161" s="4"/>
      <c r="AJ161" s="23"/>
    </row>
    <row r="162" spans="1:43" x14ac:dyDescent="0.2">
      <c r="A162" s="226" t="s">
        <v>1142</v>
      </c>
      <c r="G162" s="83">
        <f>SUM(G134:G161)</f>
        <v>1497847</v>
      </c>
      <c r="H162" s="83">
        <f>SUM(H134:H161)</f>
        <v>1045780.5399999999</v>
      </c>
      <c r="I162" s="133">
        <f t="shared" ref="I162:I163" si="34">ROUND((H162/G162),4)</f>
        <v>0.69820000000000004</v>
      </c>
      <c r="J162" s="83">
        <f t="shared" ref="J162:U162" si="35">SUM(J134:J161)</f>
        <v>56642.59</v>
      </c>
      <c r="K162" s="83">
        <f t="shared" si="35"/>
        <v>85685.75</v>
      </c>
      <c r="L162" s="83">
        <f t="shared" si="35"/>
        <v>81779.069999999992</v>
      </c>
      <c r="M162" s="83">
        <f t="shared" si="35"/>
        <v>74442.069999999992</v>
      </c>
      <c r="N162" s="83">
        <f t="shared" si="35"/>
        <v>78013.569999999992</v>
      </c>
      <c r="O162" s="83">
        <f t="shared" si="35"/>
        <v>83430.23</v>
      </c>
      <c r="P162" s="83">
        <f t="shared" si="35"/>
        <v>78846.91</v>
      </c>
      <c r="Q162" s="83">
        <f t="shared" si="35"/>
        <v>108680.23</v>
      </c>
      <c r="R162" s="83">
        <f t="shared" si="35"/>
        <v>93886.65</v>
      </c>
      <c r="S162" s="4">
        <f t="shared" si="35"/>
        <v>82940.489999999991</v>
      </c>
      <c r="T162" s="4">
        <f t="shared" si="35"/>
        <v>91797.909999999989</v>
      </c>
      <c r="U162" s="4">
        <f t="shared" si="35"/>
        <v>113635.06999999999</v>
      </c>
      <c r="V162" s="77"/>
      <c r="W162" s="82">
        <f>SUM(W134:W161)</f>
        <v>452066.45999999996</v>
      </c>
      <c r="X162" s="79"/>
      <c r="Y162" s="4"/>
      <c r="Z162" s="4"/>
      <c r="AA162" s="83">
        <f>SUM(AA134:AA161)</f>
        <v>16000</v>
      </c>
      <c r="AB162" s="83">
        <f>SUM(AB134:AB161)</f>
        <v>0</v>
      </c>
      <c r="AC162" s="83">
        <f>SUM(AC134:AC161)</f>
        <v>0</v>
      </c>
      <c r="AD162" s="4"/>
      <c r="AH162" s="23">
        <f>SUM(AH134:AH161)</f>
        <v>1089075.04</v>
      </c>
      <c r="AJ162" s="23">
        <f t="shared" si="33"/>
        <v>-43294.500000000116</v>
      </c>
      <c r="AM162" s="11">
        <f>SUM(J162:R162)+SUM(S163:U163)+SUM('2020 detail'!AA156:AC156)</f>
        <v>1028316.13</v>
      </c>
      <c r="AN162" s="24">
        <f>ROUND((AM162/G162),4)</f>
        <v>0.6865</v>
      </c>
      <c r="AO162" s="24">
        <f>ROUND((SUM(J163:U163)/G163),4)</f>
        <v>0.71030000000000004</v>
      </c>
      <c r="AQ162" s="23">
        <f>SUM(AQ134:AQ161)</f>
        <v>137929.71000000002</v>
      </c>
    </row>
    <row r="163" spans="1:43" x14ac:dyDescent="0.2">
      <c r="A163" s="253" t="s">
        <v>1056</v>
      </c>
      <c r="G163" s="206">
        <f>'2021 Detail'!G157</f>
        <v>1509284</v>
      </c>
      <c r="H163" s="206">
        <f>SUM(J163:U163)+SUM(AA163:AC163)</f>
        <v>1095075.04</v>
      </c>
      <c r="I163" s="207">
        <f t="shared" si="34"/>
        <v>0.72560000000000002</v>
      </c>
      <c r="J163" s="206">
        <f>'2021 Detail'!J157</f>
        <v>68437.33</v>
      </c>
      <c r="K163" s="206">
        <f>'2021 Detail'!K157</f>
        <v>93216.08</v>
      </c>
      <c r="L163" s="206">
        <f>'2021 Detail'!L157</f>
        <v>78656.08</v>
      </c>
      <c r="M163" s="206">
        <f>'2021 Detail'!M157</f>
        <v>87317.33</v>
      </c>
      <c r="N163" s="206">
        <f>'2021 Detail'!N157</f>
        <v>90020.77</v>
      </c>
      <c r="O163" s="206">
        <f>'2021 Detail'!O157</f>
        <v>94270.77</v>
      </c>
      <c r="P163" s="206">
        <f>'2021 Detail'!P157</f>
        <v>86320.77</v>
      </c>
      <c r="Q163" s="206">
        <f>'2021 Detail'!Q157</f>
        <v>92856.08</v>
      </c>
      <c r="R163" s="206">
        <f>'2021 Detail'!R157</f>
        <v>94070.77</v>
      </c>
      <c r="S163" s="206">
        <f>'2021 Detail'!S157</f>
        <v>75312.33</v>
      </c>
      <c r="T163" s="206">
        <f>'2021 Detail'!T157</f>
        <v>73667.02</v>
      </c>
      <c r="U163" s="206">
        <f>'2021 Detail'!U157</f>
        <v>137929.71000000002</v>
      </c>
      <c r="X163" s="79"/>
      <c r="Y163" s="4"/>
      <c r="Z163" s="4"/>
      <c r="AA163" s="165">
        <f>'2021 Detail'!AA157</f>
        <v>17000</v>
      </c>
      <c r="AB163" s="165">
        <f>'2021 Detail'!AB157</f>
        <v>6000</v>
      </c>
      <c r="AC163" s="165">
        <f>'2021 Detail'!AC157</f>
        <v>0</v>
      </c>
      <c r="AJ163" s="23"/>
    </row>
    <row r="164" spans="1:43" x14ac:dyDescent="0.2">
      <c r="X164" s="79"/>
      <c r="Y164" s="4"/>
      <c r="Z164" s="4"/>
      <c r="AJ164" s="23"/>
    </row>
    <row r="165" spans="1:43" x14ac:dyDescent="0.2">
      <c r="A165" s="226" t="str">
        <f t="shared" ref="A165:U165" si="36">A$510</f>
        <v>Diocesan Total 2022</v>
      </c>
      <c r="B165" s="226">
        <f t="shared" si="36"/>
        <v>0</v>
      </c>
      <c r="C165" s="226">
        <f t="shared" si="36"/>
        <v>0</v>
      </c>
      <c r="D165" s="258">
        <f t="shared" si="36"/>
        <v>0</v>
      </c>
      <c r="E165" s="226">
        <f t="shared" si="36"/>
        <v>0</v>
      </c>
      <c r="F165" s="226">
        <f t="shared" si="36"/>
        <v>0</v>
      </c>
      <c r="G165" s="83">
        <f t="shared" si="36"/>
        <v>8116012</v>
      </c>
      <c r="H165" s="83">
        <f t="shared" si="36"/>
        <v>6559332.3399999999</v>
      </c>
      <c r="I165" s="133">
        <f t="shared" si="36"/>
        <v>0.80820000000000003</v>
      </c>
      <c r="J165" s="83">
        <f t="shared" si="36"/>
        <v>378351.23</v>
      </c>
      <c r="K165" s="83">
        <f t="shared" si="36"/>
        <v>449442.02</v>
      </c>
      <c r="L165" s="83">
        <f t="shared" si="36"/>
        <v>517036.34</v>
      </c>
      <c r="M165" s="83">
        <f t="shared" si="36"/>
        <v>434875.54000000004</v>
      </c>
      <c r="N165" s="83">
        <f t="shared" si="36"/>
        <v>497786.23</v>
      </c>
      <c r="O165" s="83">
        <f t="shared" si="36"/>
        <v>599586.94000000006</v>
      </c>
      <c r="P165" s="83">
        <f t="shared" si="36"/>
        <v>498701.35</v>
      </c>
      <c r="Q165" s="83">
        <f t="shared" si="36"/>
        <v>538018.41999999993</v>
      </c>
      <c r="R165" s="83">
        <f t="shared" si="36"/>
        <v>551902.79</v>
      </c>
      <c r="S165" s="4">
        <f t="shared" si="36"/>
        <v>564217.18000000005</v>
      </c>
      <c r="T165" s="4">
        <f t="shared" si="36"/>
        <v>646111.05000000005</v>
      </c>
      <c r="U165" s="4">
        <f t="shared" si="36"/>
        <v>737258.44</v>
      </c>
      <c r="V165" s="77"/>
      <c r="W165" s="82"/>
      <c r="X165" s="4"/>
      <c r="Y165" s="4"/>
      <c r="Z165" s="4"/>
      <c r="AA165" s="83"/>
      <c r="AB165" s="83"/>
      <c r="AC165" s="83"/>
      <c r="AD165" s="4"/>
      <c r="AH165" s="23">
        <f>AH$510</f>
        <v>6554125.29</v>
      </c>
      <c r="AJ165" s="23">
        <f>AJ$510</f>
        <v>5207.0499999998137</v>
      </c>
    </row>
    <row r="166" spans="1:43" x14ac:dyDescent="0.2">
      <c r="A166" s="253" t="str">
        <f t="shared" ref="A166:U166" si="37">A$511</f>
        <v>Diocesan Total 2021</v>
      </c>
      <c r="B166" s="253">
        <f t="shared" si="37"/>
        <v>0</v>
      </c>
      <c r="C166" s="253">
        <f t="shared" si="37"/>
        <v>0</v>
      </c>
      <c r="D166" s="259">
        <f t="shared" si="37"/>
        <v>0</v>
      </c>
      <c r="E166" s="253">
        <f t="shared" si="37"/>
        <v>0</v>
      </c>
      <c r="F166" s="253">
        <f t="shared" si="37"/>
        <v>0</v>
      </c>
      <c r="G166" s="206">
        <f t="shared" si="37"/>
        <v>8132853</v>
      </c>
      <c r="H166" s="206">
        <f t="shared" si="37"/>
        <v>6587993.7700000005</v>
      </c>
      <c r="I166" s="207">
        <f t="shared" si="37"/>
        <v>0.81</v>
      </c>
      <c r="J166" s="206">
        <f t="shared" si="37"/>
        <v>340336.86</v>
      </c>
      <c r="K166" s="206">
        <f t="shared" si="37"/>
        <v>407387.73</v>
      </c>
      <c r="L166" s="206">
        <f t="shared" si="37"/>
        <v>497955.59</v>
      </c>
      <c r="M166" s="206">
        <f t="shared" si="37"/>
        <v>513800.89999999997</v>
      </c>
      <c r="N166" s="206">
        <f t="shared" si="37"/>
        <v>483760.16000000003</v>
      </c>
      <c r="O166" s="206">
        <f t="shared" si="37"/>
        <v>527451.71000000008</v>
      </c>
      <c r="P166" s="206">
        <f t="shared" si="37"/>
        <v>582882.6100000001</v>
      </c>
      <c r="Q166" s="206">
        <f t="shared" si="37"/>
        <v>489302.35</v>
      </c>
      <c r="R166" s="206">
        <f t="shared" si="37"/>
        <v>548459.72</v>
      </c>
      <c r="S166" s="206">
        <f t="shared" si="37"/>
        <v>527708.16999999993</v>
      </c>
      <c r="T166" s="206">
        <f t="shared" si="37"/>
        <v>616975.80999999994</v>
      </c>
      <c r="U166" s="206">
        <f t="shared" si="37"/>
        <v>907302.59</v>
      </c>
      <c r="V166" s="206"/>
      <c r="W166" s="206"/>
      <c r="X166" s="206"/>
      <c r="Y166" s="4"/>
      <c r="Z166" s="4"/>
      <c r="AA166" s="206"/>
      <c r="AB166" s="206"/>
      <c r="AC166" s="206"/>
      <c r="AJ166" s="23"/>
    </row>
    <row r="167" spans="1:43" ht="15.75" x14ac:dyDescent="0.25">
      <c r="G167" s="196" t="s">
        <v>10</v>
      </c>
      <c r="X167" s="79"/>
      <c r="Y167" s="4"/>
      <c r="Z167" s="4"/>
      <c r="AH167" s="171" t="s">
        <v>1136</v>
      </c>
      <c r="AI167" s="172"/>
      <c r="AJ167" s="171" t="s">
        <v>1064</v>
      </c>
    </row>
    <row r="168" spans="1:43" x14ac:dyDescent="0.2">
      <c r="Y168" s="4"/>
      <c r="Z168" s="4"/>
      <c r="AH168" s="171" t="s">
        <v>1137</v>
      </c>
      <c r="AI168" s="172"/>
      <c r="AJ168" s="171" t="s">
        <v>1138</v>
      </c>
    </row>
    <row r="169" spans="1:43" ht="16.5" x14ac:dyDescent="0.25">
      <c r="A169" s="250"/>
      <c r="B169" s="8"/>
      <c r="C169" s="8"/>
      <c r="E169" s="8"/>
      <c r="F169" s="8"/>
      <c r="G169" s="208" t="str">
        <f>$G$3</f>
        <v>2022 PARISH SHARE INFORMATION AS AT 31 DECEMBER 2022</v>
      </c>
      <c r="H169" s="209"/>
      <c r="W169" s="194"/>
      <c r="X169"/>
      <c r="Y169" s="4"/>
      <c r="Z169" s="4"/>
      <c r="AA169"/>
      <c r="AB169"/>
      <c r="AC169"/>
      <c r="AH169" s="172"/>
      <c r="AI169" s="172"/>
      <c r="AJ169" s="171" t="s">
        <v>1139</v>
      </c>
    </row>
    <row r="170" spans="1:43" x14ac:dyDescent="0.2">
      <c r="A170" s="250"/>
      <c r="G170" s="205"/>
      <c r="H170" s="197"/>
      <c r="W170" s="194"/>
      <c r="X170"/>
      <c r="Y170" s="4"/>
      <c r="Z170" s="4"/>
      <c r="AA170"/>
      <c r="AB170"/>
      <c r="AC170"/>
    </row>
    <row r="171" spans="1:43" ht="16.5" x14ac:dyDescent="0.25">
      <c r="A171" s="251" t="s">
        <v>1</v>
      </c>
      <c r="B171" s="151" t="str">
        <f>$B$5</f>
        <v>RM</v>
      </c>
      <c r="C171" s="151" t="str">
        <f>$C$5</f>
        <v>RF</v>
      </c>
      <c r="D171" s="151" t="str">
        <f>$D$5</f>
        <v>Accts</v>
      </c>
      <c r="E171" s="151"/>
      <c r="F171" s="151" t="str">
        <f>$F$5</f>
        <v>Share DD</v>
      </c>
      <c r="G171" s="210" t="str">
        <f>$G$5</f>
        <v xml:space="preserve">2022 Share </v>
      </c>
      <c r="H171" s="211" t="str">
        <f>$H$5</f>
        <v xml:space="preserve">2022 Paid </v>
      </c>
      <c r="I171" s="211" t="str">
        <f>$I$5</f>
        <v xml:space="preserve">% Paid </v>
      </c>
      <c r="J171" s="212">
        <f>$J$5</f>
        <v>44592</v>
      </c>
      <c r="K171" s="212">
        <f>$K$5</f>
        <v>44620</v>
      </c>
      <c r="L171" s="212">
        <f>$L$5</f>
        <v>44651</v>
      </c>
      <c r="M171" s="212">
        <f>$M$5</f>
        <v>44681</v>
      </c>
      <c r="N171" s="212">
        <f>$N$5</f>
        <v>44712</v>
      </c>
      <c r="O171" s="212">
        <f>$O$5</f>
        <v>44742</v>
      </c>
      <c r="P171" s="212">
        <f>$P$5</f>
        <v>44773</v>
      </c>
      <c r="Q171" s="212">
        <f>$Q$5</f>
        <v>44804</v>
      </c>
      <c r="R171" s="212">
        <f>$R$5</f>
        <v>44834</v>
      </c>
      <c r="S171" s="155">
        <f>$S$5</f>
        <v>44865</v>
      </c>
      <c r="T171" s="155">
        <f>$T$5</f>
        <v>44895</v>
      </c>
      <c r="U171" s="155">
        <f>$U$5</f>
        <v>44926</v>
      </c>
      <c r="V171" s="78"/>
      <c r="W171" s="195" t="str">
        <f>$W$5</f>
        <v xml:space="preserve">Outstanding </v>
      </c>
      <c r="X171" s="2"/>
      <c r="Y171" s="4"/>
      <c r="Z171" s="4"/>
      <c r="AA171" s="2">
        <f>$AA$5</f>
        <v>44957</v>
      </c>
      <c r="AB171" s="2">
        <f>$AB$5</f>
        <v>44985</v>
      </c>
      <c r="AC171" s="2">
        <f>$AC$5</f>
        <v>45016</v>
      </c>
      <c r="AE171" s="152" t="str">
        <f>$AE$5</f>
        <v>Benefice</v>
      </c>
      <c r="AH171" s="16" t="s">
        <v>1141</v>
      </c>
      <c r="AJ171" s="170" t="s">
        <v>1140</v>
      </c>
      <c r="AQ171" s="222">
        <f>AQ5</f>
        <v>44588</v>
      </c>
    </row>
    <row r="172" spans="1:43" ht="16.5" x14ac:dyDescent="0.25">
      <c r="A172" s="250"/>
      <c r="G172" s="201" t="s">
        <v>1040</v>
      </c>
      <c r="H172" s="202" t="s">
        <v>1040</v>
      </c>
      <c r="I172" s="203"/>
      <c r="J172" s="202" t="s">
        <v>1040</v>
      </c>
      <c r="K172" s="202" t="s">
        <v>1040</v>
      </c>
      <c r="L172" s="202" t="s">
        <v>1040</v>
      </c>
      <c r="M172" s="202" t="s">
        <v>1040</v>
      </c>
      <c r="N172" s="202" t="s">
        <v>1040</v>
      </c>
      <c r="O172" s="202" t="s">
        <v>1040</v>
      </c>
      <c r="P172" s="202" t="s">
        <v>1040</v>
      </c>
      <c r="Q172" s="202" t="s">
        <v>1040</v>
      </c>
      <c r="R172" s="202" t="s">
        <v>1040</v>
      </c>
      <c r="S172" s="147" t="s">
        <v>1040</v>
      </c>
      <c r="T172" s="147" t="s">
        <v>1040</v>
      </c>
      <c r="U172" s="147" t="s">
        <v>1040</v>
      </c>
      <c r="W172" s="194"/>
      <c r="X172"/>
      <c r="Y172" s="4"/>
      <c r="Z172" s="4"/>
      <c r="AA172"/>
      <c r="AB172"/>
      <c r="AC172"/>
      <c r="AJ172" s="23"/>
    </row>
    <row r="173" spans="1:43" x14ac:dyDescent="0.2">
      <c r="Y173" s="4"/>
      <c r="Z173" s="4"/>
      <c r="AJ173" s="23"/>
    </row>
    <row r="174" spans="1:43" x14ac:dyDescent="0.2">
      <c r="A174" s="226" t="s">
        <v>131</v>
      </c>
      <c r="B174" s="9" t="s">
        <v>495</v>
      </c>
      <c r="C174" s="9">
        <v>0</v>
      </c>
      <c r="D174" s="9" t="s">
        <v>495</v>
      </c>
      <c r="E174" s="9"/>
      <c r="F174" s="9">
        <v>0</v>
      </c>
      <c r="G174" s="83">
        <v>7823</v>
      </c>
      <c r="H174" s="83">
        <f t="shared" ref="H174:H216" si="38">SUM(J174:U174)+SUM(AA174:AC174)</f>
        <v>2700</v>
      </c>
      <c r="I174" s="133">
        <f t="shared" ref="I174:I216" si="39">ROUND((H174/G174),4)</f>
        <v>0.34510000000000002</v>
      </c>
      <c r="J174" s="82">
        <v>225</v>
      </c>
      <c r="K174" s="82">
        <v>225</v>
      </c>
      <c r="L174" s="82">
        <v>225</v>
      </c>
      <c r="M174" s="82">
        <v>225</v>
      </c>
      <c r="N174" s="82">
        <v>225</v>
      </c>
      <c r="O174" s="82">
        <v>225</v>
      </c>
      <c r="P174" s="82">
        <v>225</v>
      </c>
      <c r="Q174" s="82">
        <v>225</v>
      </c>
      <c r="R174" s="82">
        <v>225</v>
      </c>
      <c r="S174" s="23">
        <v>225</v>
      </c>
      <c r="T174" s="23">
        <v>225</v>
      </c>
      <c r="U174" s="23">
        <v>225</v>
      </c>
      <c r="V174" s="7" t="s">
        <v>610</v>
      </c>
      <c r="W174" s="82">
        <f t="shared" ref="W174:W216" si="40">G174-H174</f>
        <v>5123</v>
      </c>
      <c r="X174" s="4"/>
      <c r="Y174" s="4"/>
      <c r="Z174" s="4"/>
      <c r="AA174" s="82"/>
      <c r="AB174" s="82"/>
      <c r="AC174" s="82"/>
      <c r="AD174" s="23"/>
      <c r="AE174" s="7" t="s">
        <v>419</v>
      </c>
      <c r="AH174" s="23">
        <f>SUM('2021 Detail'!J167:U167)+SUM('2021 Detail'!AA167)</f>
        <v>3523</v>
      </c>
      <c r="AJ174" s="23">
        <f t="shared" si="33"/>
        <v>-823</v>
      </c>
      <c r="AL174" t="str">
        <f t="shared" ref="AL174:AL216" si="41">IF(AJ174&lt;0,"Down",IF(AJ174&gt;0,"Up","Same"))</f>
        <v>Down</v>
      </c>
      <c r="AQ174" s="23">
        <v>1048</v>
      </c>
    </row>
    <row r="175" spans="1:43" x14ac:dyDescent="0.2">
      <c r="A175" s="226" t="s">
        <v>133</v>
      </c>
      <c r="B175" s="9" t="s">
        <v>495</v>
      </c>
      <c r="C175" s="9">
        <v>0</v>
      </c>
      <c r="D175" s="9">
        <v>0</v>
      </c>
      <c r="E175" s="9"/>
      <c r="F175" s="9">
        <v>0</v>
      </c>
      <c r="G175" s="83">
        <v>8340</v>
      </c>
      <c r="H175" s="83">
        <f t="shared" si="38"/>
        <v>122</v>
      </c>
      <c r="I175" s="133">
        <f t="shared" si="39"/>
        <v>1.46E-2</v>
      </c>
      <c r="J175" s="82">
        <v>122</v>
      </c>
      <c r="K175" s="82"/>
      <c r="L175" s="82"/>
      <c r="M175" s="82"/>
      <c r="N175" s="82"/>
      <c r="O175" s="82"/>
      <c r="P175" s="82"/>
      <c r="Q175" s="82"/>
      <c r="R175" s="82"/>
      <c r="S175" s="23"/>
      <c r="T175" s="23"/>
      <c r="U175" s="23"/>
      <c r="V175" s="7" t="s">
        <v>612</v>
      </c>
      <c r="W175" s="82">
        <f t="shared" si="40"/>
        <v>8218</v>
      </c>
      <c r="Y175" s="4"/>
      <c r="Z175" s="4"/>
      <c r="AA175" s="82"/>
      <c r="AB175" s="82"/>
      <c r="AC175" s="82"/>
      <c r="AD175" s="23"/>
      <c r="AE175" s="7" t="s">
        <v>419</v>
      </c>
      <c r="AH175" s="23">
        <f>SUM('2021 Detail'!J169:U169)+SUM('2021 Detail'!AA169)</f>
        <v>8326</v>
      </c>
      <c r="AJ175" s="23">
        <f t="shared" si="33"/>
        <v>-8204</v>
      </c>
      <c r="AL175" t="str">
        <f t="shared" si="41"/>
        <v>Down</v>
      </c>
    </row>
    <row r="176" spans="1:43" x14ac:dyDescent="0.2">
      <c r="A176" s="226" t="s">
        <v>134</v>
      </c>
      <c r="B176" s="9" t="s">
        <v>495</v>
      </c>
      <c r="C176" s="9" t="s">
        <v>495</v>
      </c>
      <c r="D176" s="9" t="s">
        <v>495</v>
      </c>
      <c r="E176" s="9"/>
      <c r="F176" s="9" t="s">
        <v>495</v>
      </c>
      <c r="G176" s="83">
        <v>7876</v>
      </c>
      <c r="H176" s="83">
        <f t="shared" si="38"/>
        <v>7875.9999999999982</v>
      </c>
      <c r="I176" s="133">
        <f t="shared" si="39"/>
        <v>1</v>
      </c>
      <c r="J176" s="82">
        <v>655.24</v>
      </c>
      <c r="K176" s="82">
        <v>655.16</v>
      </c>
      <c r="L176" s="82">
        <v>656.56</v>
      </c>
      <c r="M176" s="82">
        <v>656.56</v>
      </c>
      <c r="N176" s="82">
        <v>656.56</v>
      </c>
      <c r="O176" s="82">
        <v>656.56</v>
      </c>
      <c r="P176" s="82">
        <v>656.56</v>
      </c>
      <c r="Q176" s="82">
        <v>656.56</v>
      </c>
      <c r="R176" s="82">
        <v>656.56</v>
      </c>
      <c r="S176" s="23">
        <v>656.56</v>
      </c>
      <c r="T176" s="23">
        <v>656.56</v>
      </c>
      <c r="U176" s="23">
        <v>656.56</v>
      </c>
      <c r="V176" s="7" t="s">
        <v>613</v>
      </c>
      <c r="W176" s="82">
        <f t="shared" si="40"/>
        <v>0</v>
      </c>
      <c r="Y176" s="4"/>
      <c r="Z176" s="4"/>
      <c r="AA176" s="82"/>
      <c r="AB176" s="82"/>
      <c r="AC176" s="82"/>
      <c r="AD176" s="23"/>
      <c r="AE176" s="7" t="s">
        <v>419</v>
      </c>
      <c r="AH176" s="23">
        <f>SUM('2021 Detail'!J170:U170)+SUM('2021 Detail'!AA170)</f>
        <v>7861.9999999999991</v>
      </c>
      <c r="AJ176" s="23">
        <f t="shared" si="33"/>
        <v>13.999999999999091</v>
      </c>
      <c r="AL176" t="str">
        <f t="shared" si="41"/>
        <v>Up</v>
      </c>
      <c r="AQ176" s="23">
        <v>655.16</v>
      </c>
    </row>
    <row r="177" spans="1:43" x14ac:dyDescent="0.2">
      <c r="A177" s="226" t="s">
        <v>135</v>
      </c>
      <c r="B177" s="9" t="s">
        <v>495</v>
      </c>
      <c r="C177" s="9" t="s">
        <v>495</v>
      </c>
      <c r="D177" s="9" t="s">
        <v>495</v>
      </c>
      <c r="E177" s="9"/>
      <c r="F177" s="9">
        <v>0</v>
      </c>
      <c r="G177" s="83">
        <v>18444</v>
      </c>
      <c r="H177" s="83">
        <f t="shared" si="38"/>
        <v>12000</v>
      </c>
      <c r="I177" s="133">
        <f t="shared" si="39"/>
        <v>0.65059999999999996</v>
      </c>
      <c r="J177" s="82"/>
      <c r="K177" s="82"/>
      <c r="L177" s="82">
        <v>3000</v>
      </c>
      <c r="M177" s="82">
        <v>1000</v>
      </c>
      <c r="N177" s="82">
        <v>1000</v>
      </c>
      <c r="O177" s="82">
        <v>1000</v>
      </c>
      <c r="P177" s="82">
        <v>1000</v>
      </c>
      <c r="Q177" s="82">
        <v>1000</v>
      </c>
      <c r="R177" s="82">
        <v>1000</v>
      </c>
      <c r="S177" s="23">
        <v>1000</v>
      </c>
      <c r="T177" s="23">
        <v>1000</v>
      </c>
      <c r="U177" s="23">
        <v>1000</v>
      </c>
      <c r="V177" s="7" t="s">
        <v>614</v>
      </c>
      <c r="W177" s="82">
        <f t="shared" si="40"/>
        <v>6444</v>
      </c>
      <c r="Y177" s="4"/>
      <c r="Z177" s="4"/>
      <c r="AA177" s="82"/>
      <c r="AB177" s="82"/>
      <c r="AC177" s="82"/>
      <c r="AD177" s="23"/>
      <c r="AE177" s="7" t="s">
        <v>419</v>
      </c>
      <c r="AH177" s="23">
        <f>SUM('2021 Detail'!J171:U171)+SUM('2021 Detail'!AA171)</f>
        <v>11175</v>
      </c>
      <c r="AJ177" s="23">
        <f t="shared" si="33"/>
        <v>825</v>
      </c>
      <c r="AL177" t="str">
        <f t="shared" si="41"/>
        <v>Up</v>
      </c>
      <c r="AQ177" s="23">
        <v>500</v>
      </c>
    </row>
    <row r="178" spans="1:43" x14ac:dyDescent="0.2">
      <c r="A178" s="226" t="s">
        <v>136</v>
      </c>
      <c r="B178" s="9" t="s">
        <v>495</v>
      </c>
      <c r="C178" s="9" t="s">
        <v>495</v>
      </c>
      <c r="D178" s="9">
        <v>0</v>
      </c>
      <c r="E178" s="9"/>
      <c r="F178" s="9">
        <v>0</v>
      </c>
      <c r="G178" s="83">
        <v>53996</v>
      </c>
      <c r="H178" s="83">
        <f t="shared" si="38"/>
        <v>43000</v>
      </c>
      <c r="I178" s="133">
        <f t="shared" si="39"/>
        <v>0.7964</v>
      </c>
      <c r="J178" s="82"/>
      <c r="K178" s="82">
        <v>7000</v>
      </c>
      <c r="L178" s="82">
        <v>2561</v>
      </c>
      <c r="M178" s="82"/>
      <c r="N178" s="82"/>
      <c r="O178" s="82">
        <v>-2561</v>
      </c>
      <c r="P178" s="82"/>
      <c r="Q178" s="82"/>
      <c r="R178" s="82"/>
      <c r="S178" s="23"/>
      <c r="T178" s="23">
        <v>30000</v>
      </c>
      <c r="U178" s="23">
        <v>6000</v>
      </c>
      <c r="V178" s="7" t="s">
        <v>615</v>
      </c>
      <c r="W178" s="82">
        <f t="shared" si="40"/>
        <v>10996</v>
      </c>
      <c r="Y178" s="4"/>
      <c r="Z178" s="4"/>
      <c r="AA178" s="82"/>
      <c r="AB178" s="82"/>
      <c r="AC178" s="82"/>
      <c r="AD178" s="23"/>
      <c r="AE178" s="7" t="s">
        <v>420</v>
      </c>
      <c r="AH178" s="23">
        <f>SUM('2021 Detail'!J172:U172)+SUM('2021 Detail'!AA172)</f>
        <v>29312</v>
      </c>
      <c r="AJ178" s="23">
        <f t="shared" si="33"/>
        <v>13688</v>
      </c>
      <c r="AL178" t="str">
        <f t="shared" si="41"/>
        <v>Up</v>
      </c>
    </row>
    <row r="179" spans="1:43" x14ac:dyDescent="0.2">
      <c r="A179" s="226" t="s">
        <v>137</v>
      </c>
      <c r="B179" s="9" t="s">
        <v>495</v>
      </c>
      <c r="C179" s="9" t="s">
        <v>495</v>
      </c>
      <c r="D179" s="9" t="s">
        <v>495</v>
      </c>
      <c r="E179" s="9"/>
      <c r="F179" s="9" t="s">
        <v>495</v>
      </c>
      <c r="G179" s="83">
        <v>13500</v>
      </c>
      <c r="H179" s="83">
        <f t="shared" si="38"/>
        <v>13500</v>
      </c>
      <c r="I179" s="133">
        <f t="shared" si="39"/>
        <v>1</v>
      </c>
      <c r="J179" s="82">
        <v>1000</v>
      </c>
      <c r="K179" s="82">
        <v>1000</v>
      </c>
      <c r="L179" s="82">
        <v>1000</v>
      </c>
      <c r="M179" s="82">
        <v>1000</v>
      </c>
      <c r="N179" s="82">
        <v>1000</v>
      </c>
      <c r="O179" s="82">
        <v>1000</v>
      </c>
      <c r="P179" s="82">
        <v>1000</v>
      </c>
      <c r="Q179" s="82">
        <v>1000</v>
      </c>
      <c r="R179" s="82">
        <v>1000</v>
      </c>
      <c r="S179" s="23">
        <v>1000</v>
      </c>
      <c r="T179" s="23">
        <v>1000</v>
      </c>
      <c r="U179" s="23">
        <v>2500</v>
      </c>
      <c r="V179" s="7" t="s">
        <v>616</v>
      </c>
      <c r="W179" s="82">
        <f t="shared" si="40"/>
        <v>0</v>
      </c>
      <c r="Y179" s="4"/>
      <c r="Z179" s="4"/>
      <c r="AA179" s="82"/>
      <c r="AB179" s="82"/>
      <c r="AC179" s="82"/>
      <c r="AD179" s="23"/>
      <c r="AE179" s="7" t="s">
        <v>420</v>
      </c>
      <c r="AH179" s="23">
        <f>SUM('2021 Detail'!J173:U173)+SUM('2021 Detail'!AA173)</f>
        <v>13800</v>
      </c>
      <c r="AJ179" s="23">
        <f t="shared" si="33"/>
        <v>-300</v>
      </c>
      <c r="AL179" t="str">
        <f t="shared" si="41"/>
        <v>Down</v>
      </c>
      <c r="AQ179" s="23">
        <v>2800</v>
      </c>
    </row>
    <row r="180" spans="1:43" x14ac:dyDescent="0.2">
      <c r="A180" s="226" t="s">
        <v>138</v>
      </c>
      <c r="B180" s="9">
        <v>0</v>
      </c>
      <c r="C180" s="9" t="s">
        <v>495</v>
      </c>
      <c r="D180" s="9" t="s">
        <v>495</v>
      </c>
      <c r="E180" s="9"/>
      <c r="F180" s="9">
        <v>0</v>
      </c>
      <c r="G180" s="83">
        <v>8956</v>
      </c>
      <c r="H180" s="83">
        <f t="shared" si="38"/>
        <v>8956</v>
      </c>
      <c r="I180" s="133">
        <f t="shared" si="39"/>
        <v>1</v>
      </c>
      <c r="J180" s="82"/>
      <c r="K180" s="82"/>
      <c r="L180" s="82">
        <v>2239</v>
      </c>
      <c r="M180" s="82"/>
      <c r="N180" s="82">
        <v>2239</v>
      </c>
      <c r="O180" s="82"/>
      <c r="P180" s="82"/>
      <c r="Q180" s="82"/>
      <c r="R180" s="82">
        <v>2239</v>
      </c>
      <c r="S180" s="23"/>
      <c r="T180" s="23">
        <v>2239</v>
      </c>
      <c r="U180" s="23"/>
      <c r="V180" s="7" t="s">
        <v>617</v>
      </c>
      <c r="W180" s="82">
        <f t="shared" si="40"/>
        <v>0</v>
      </c>
      <c r="Y180" s="4"/>
      <c r="Z180" s="4"/>
      <c r="AA180" s="82"/>
      <c r="AB180" s="82"/>
      <c r="AC180" s="82"/>
      <c r="AD180" s="23"/>
      <c r="AE180" s="7" t="s">
        <v>421</v>
      </c>
      <c r="AH180" s="23">
        <f>SUM('2021 Detail'!J174:U174)+SUM('2021 Detail'!AA174)</f>
        <v>8956</v>
      </c>
      <c r="AJ180" s="23">
        <f t="shared" si="33"/>
        <v>0</v>
      </c>
      <c r="AL180" t="str">
        <f t="shared" si="41"/>
        <v>Same</v>
      </c>
    </row>
    <row r="181" spans="1:43" x14ac:dyDescent="0.2">
      <c r="A181" s="226" t="s">
        <v>139</v>
      </c>
      <c r="B181" s="9" t="s">
        <v>495</v>
      </c>
      <c r="C181" s="9" t="s">
        <v>495</v>
      </c>
      <c r="D181" s="9">
        <v>0</v>
      </c>
      <c r="E181" s="9"/>
      <c r="F181" s="9">
        <v>0</v>
      </c>
      <c r="G181" s="83">
        <v>5866</v>
      </c>
      <c r="H181" s="83">
        <f t="shared" si="38"/>
        <v>5866</v>
      </c>
      <c r="I181" s="133">
        <f t="shared" si="39"/>
        <v>1</v>
      </c>
      <c r="J181" s="82"/>
      <c r="K181" s="82"/>
      <c r="L181" s="82">
        <v>1000</v>
      </c>
      <c r="M181" s="82"/>
      <c r="N181" s="82">
        <v>1000</v>
      </c>
      <c r="O181" s="82">
        <v>1000</v>
      </c>
      <c r="P181" s="82"/>
      <c r="Q181" s="82">
        <v>1000</v>
      </c>
      <c r="R181" s="82"/>
      <c r="S181" s="23"/>
      <c r="T181" s="23">
        <v>1000</v>
      </c>
      <c r="U181" s="23">
        <v>866</v>
      </c>
      <c r="V181" s="7" t="s">
        <v>618</v>
      </c>
      <c r="W181" s="82">
        <f t="shared" si="40"/>
        <v>0</v>
      </c>
      <c r="Y181" s="4"/>
      <c r="Z181" s="4"/>
      <c r="AA181" s="82"/>
      <c r="AB181" s="82"/>
      <c r="AC181" s="82"/>
      <c r="AD181" s="23"/>
      <c r="AE181" s="7" t="s">
        <v>421</v>
      </c>
      <c r="AH181" s="23">
        <f>SUM('2021 Detail'!J175:U175)+SUM('2021 Detail'!AA175)</f>
        <v>6091</v>
      </c>
      <c r="AJ181" s="23">
        <f t="shared" si="33"/>
        <v>-225</v>
      </c>
      <c r="AL181" t="str">
        <f t="shared" si="41"/>
        <v>Down</v>
      </c>
    </row>
    <row r="182" spans="1:43" x14ac:dyDescent="0.2">
      <c r="A182" s="226" t="s">
        <v>140</v>
      </c>
      <c r="B182" s="9" t="s">
        <v>495</v>
      </c>
      <c r="C182" s="9" t="s">
        <v>495</v>
      </c>
      <c r="D182" s="9" t="s">
        <v>495</v>
      </c>
      <c r="E182" s="9"/>
      <c r="F182" s="9">
        <v>0</v>
      </c>
      <c r="G182" s="83">
        <v>8061</v>
      </c>
      <c r="H182" s="83">
        <f t="shared" si="38"/>
        <v>8061</v>
      </c>
      <c r="I182" s="133">
        <f t="shared" si="39"/>
        <v>1</v>
      </c>
      <c r="J182" s="82">
        <v>250</v>
      </c>
      <c r="K182" s="82">
        <v>250</v>
      </c>
      <c r="L182" s="82">
        <v>250</v>
      </c>
      <c r="M182" s="82">
        <v>250</v>
      </c>
      <c r="N182" s="82">
        <v>250</v>
      </c>
      <c r="O182" s="82">
        <v>250</v>
      </c>
      <c r="P182" s="82">
        <v>250</v>
      </c>
      <c r="Q182" s="82">
        <v>250</v>
      </c>
      <c r="R182" s="82">
        <v>250</v>
      </c>
      <c r="S182" s="23">
        <v>250</v>
      </c>
      <c r="T182" s="23">
        <v>250</v>
      </c>
      <c r="U182" s="23">
        <v>5311</v>
      </c>
      <c r="V182" s="7" t="s">
        <v>619</v>
      </c>
      <c r="W182" s="82">
        <f t="shared" si="40"/>
        <v>0</v>
      </c>
      <c r="Y182" s="4"/>
      <c r="Z182" s="4"/>
      <c r="AA182" s="82"/>
      <c r="AB182" s="82"/>
      <c r="AC182" s="82"/>
      <c r="AD182" s="23"/>
      <c r="AE182" s="7" t="s">
        <v>421</v>
      </c>
      <c r="AH182" s="23">
        <f>SUM('2021 Detail'!J176:U176)+SUM('2021 Detail'!AA176)</f>
        <v>8061</v>
      </c>
      <c r="AJ182" s="23">
        <f t="shared" si="33"/>
        <v>0</v>
      </c>
      <c r="AL182" t="str">
        <f t="shared" si="41"/>
        <v>Same</v>
      </c>
      <c r="AQ182" s="23">
        <v>5311</v>
      </c>
    </row>
    <row r="183" spans="1:43" x14ac:dyDescent="0.2">
      <c r="A183" s="226" t="s">
        <v>141</v>
      </c>
      <c r="B183" s="9" t="s">
        <v>495</v>
      </c>
      <c r="C183" s="9" t="s">
        <v>495</v>
      </c>
      <c r="D183" s="9">
        <v>0</v>
      </c>
      <c r="E183" s="9"/>
      <c r="F183" s="9">
        <v>0</v>
      </c>
      <c r="G183" s="83">
        <v>15023</v>
      </c>
      <c r="H183" s="83">
        <f t="shared" si="38"/>
        <v>2000</v>
      </c>
      <c r="I183" s="133">
        <f t="shared" si="39"/>
        <v>0.1331</v>
      </c>
      <c r="J183" s="82"/>
      <c r="K183" s="82"/>
      <c r="L183" s="82"/>
      <c r="M183" s="82"/>
      <c r="N183" s="82"/>
      <c r="O183" s="82"/>
      <c r="P183" s="82"/>
      <c r="Q183" s="82"/>
      <c r="R183" s="82"/>
      <c r="S183" s="23"/>
      <c r="T183" s="23">
        <v>2000</v>
      </c>
      <c r="U183" s="23"/>
      <c r="V183" s="7" t="s">
        <v>620</v>
      </c>
      <c r="W183" s="82">
        <f t="shared" si="40"/>
        <v>13023</v>
      </c>
      <c r="Y183" s="4"/>
      <c r="Z183" s="4"/>
      <c r="AA183" s="82"/>
      <c r="AB183" s="82"/>
      <c r="AC183" s="82"/>
      <c r="AD183" s="23"/>
      <c r="AE183" s="7" t="s">
        <v>427</v>
      </c>
      <c r="AH183" s="23">
        <f>SUM('2021 Detail'!J177:U177)+SUM('2021 Detail'!AA177)</f>
        <v>6000</v>
      </c>
      <c r="AJ183" s="23">
        <f t="shared" si="33"/>
        <v>-4000</v>
      </c>
      <c r="AL183" t="str">
        <f t="shared" si="41"/>
        <v>Down</v>
      </c>
      <c r="AQ183" s="23">
        <v>1000</v>
      </c>
    </row>
    <row r="184" spans="1:43" x14ac:dyDescent="0.2">
      <c r="A184" s="226" t="s">
        <v>142</v>
      </c>
      <c r="B184" s="9" t="s">
        <v>495</v>
      </c>
      <c r="C184" s="9" t="s">
        <v>495</v>
      </c>
      <c r="D184" s="9" t="s">
        <v>495</v>
      </c>
      <c r="E184" s="9"/>
      <c r="F184" s="9">
        <v>0</v>
      </c>
      <c r="G184" s="83">
        <v>16050</v>
      </c>
      <c r="H184" s="83">
        <f t="shared" si="38"/>
        <v>5000</v>
      </c>
      <c r="I184" s="133">
        <f t="shared" si="39"/>
        <v>0.3115</v>
      </c>
      <c r="J184" s="82"/>
      <c r="K184" s="82"/>
      <c r="L184" s="82"/>
      <c r="M184" s="82"/>
      <c r="N184" s="82"/>
      <c r="O184" s="82">
        <v>5000</v>
      </c>
      <c r="P184" s="82"/>
      <c r="Q184" s="82"/>
      <c r="R184" s="82"/>
      <c r="S184" s="23"/>
      <c r="T184" s="23"/>
      <c r="U184" s="23"/>
      <c r="V184" s="7" t="s">
        <v>621</v>
      </c>
      <c r="W184" s="82">
        <f t="shared" si="40"/>
        <v>11050</v>
      </c>
      <c r="Y184" s="4"/>
      <c r="Z184" s="4"/>
      <c r="AA184" s="82"/>
      <c r="AB184" s="82"/>
      <c r="AC184" s="82"/>
      <c r="AD184" s="23"/>
      <c r="AE184" s="7" t="s">
        <v>427</v>
      </c>
      <c r="AH184" s="23">
        <f>SUM('2021 Detail'!J178:U178)+SUM('2021 Detail'!AA178)</f>
        <v>5000</v>
      </c>
      <c r="AJ184" s="23">
        <f t="shared" si="33"/>
        <v>0</v>
      </c>
      <c r="AL184" t="str">
        <f t="shared" si="41"/>
        <v>Same</v>
      </c>
    </row>
    <row r="185" spans="1:43" x14ac:dyDescent="0.2">
      <c r="A185" s="226" t="s">
        <v>143</v>
      </c>
      <c r="B185" s="9">
        <v>0</v>
      </c>
      <c r="C185" s="9" t="s">
        <v>495</v>
      </c>
      <c r="D185" s="9" t="s">
        <v>495</v>
      </c>
      <c r="E185" s="9"/>
      <c r="F185" s="9">
        <v>0</v>
      </c>
      <c r="G185" s="83">
        <v>2031</v>
      </c>
      <c r="H185" s="83">
        <f t="shared" si="38"/>
        <v>2031</v>
      </c>
      <c r="I185" s="133">
        <f t="shared" si="39"/>
        <v>1</v>
      </c>
      <c r="J185" s="82"/>
      <c r="K185" s="82"/>
      <c r="L185" s="82"/>
      <c r="M185" s="82"/>
      <c r="N185" s="82"/>
      <c r="O185" s="82">
        <v>2031</v>
      </c>
      <c r="P185" s="82"/>
      <c r="Q185" s="82"/>
      <c r="R185" s="82"/>
      <c r="S185" s="23"/>
      <c r="T185" s="23"/>
      <c r="U185" s="23"/>
      <c r="V185" s="7" t="s">
        <v>622</v>
      </c>
      <c r="W185" s="82">
        <f t="shared" si="40"/>
        <v>0</v>
      </c>
      <c r="Y185" s="4"/>
      <c r="Z185" s="4"/>
      <c r="AA185" s="82"/>
      <c r="AB185" s="82"/>
      <c r="AC185" s="82"/>
      <c r="AD185" s="23"/>
      <c r="AE185" s="7" t="s">
        <v>427</v>
      </c>
      <c r="AH185" s="23">
        <f>SUM('2021 Detail'!J179:U179)+SUM('2021 Detail'!AA179)</f>
        <v>2031</v>
      </c>
      <c r="AJ185" s="23">
        <f t="shared" si="33"/>
        <v>0</v>
      </c>
      <c r="AL185" t="str">
        <f t="shared" si="41"/>
        <v>Same</v>
      </c>
    </row>
    <row r="186" spans="1:43" x14ac:dyDescent="0.2">
      <c r="A186" s="226" t="s">
        <v>144</v>
      </c>
      <c r="B186" s="9" t="s">
        <v>495</v>
      </c>
      <c r="C186" s="9" t="s">
        <v>495</v>
      </c>
      <c r="D186" s="9" t="s">
        <v>495</v>
      </c>
      <c r="E186" s="9"/>
      <c r="F186" s="9">
        <v>0</v>
      </c>
      <c r="G186" s="83">
        <v>1821</v>
      </c>
      <c r="H186" s="83">
        <f t="shared" si="38"/>
        <v>1821</v>
      </c>
      <c r="I186" s="133">
        <f t="shared" si="39"/>
        <v>1</v>
      </c>
      <c r="J186" s="82"/>
      <c r="K186" s="82"/>
      <c r="L186" s="82"/>
      <c r="M186" s="82"/>
      <c r="N186" s="82"/>
      <c r="O186" s="82">
        <v>910.5</v>
      </c>
      <c r="P186" s="82"/>
      <c r="Q186" s="82"/>
      <c r="R186" s="82"/>
      <c r="S186" s="23"/>
      <c r="T186" s="23"/>
      <c r="U186" s="23"/>
      <c r="V186" s="7" t="s">
        <v>623</v>
      </c>
      <c r="W186" s="82">
        <f t="shared" si="40"/>
        <v>0</v>
      </c>
      <c r="Y186" s="4"/>
      <c r="Z186" s="4"/>
      <c r="AA186" s="82">
        <v>910.5</v>
      </c>
      <c r="AB186" s="82"/>
      <c r="AC186" s="82"/>
      <c r="AD186" s="23"/>
      <c r="AE186" s="7" t="s">
        <v>427</v>
      </c>
      <c r="AH186" s="23">
        <f>SUM('2021 Detail'!J180:U180)+SUM('2021 Detail'!AA180)</f>
        <v>1821</v>
      </c>
      <c r="AJ186" s="23">
        <f t="shared" si="33"/>
        <v>0</v>
      </c>
      <c r="AL186" t="str">
        <f t="shared" si="41"/>
        <v>Same</v>
      </c>
      <c r="AQ186" s="23">
        <v>910.5</v>
      </c>
    </row>
    <row r="187" spans="1:43" x14ac:dyDescent="0.2">
      <c r="A187" s="226" t="s">
        <v>145</v>
      </c>
      <c r="B187" s="9" t="s">
        <v>495</v>
      </c>
      <c r="C187" s="9">
        <v>0</v>
      </c>
      <c r="D187" s="9">
        <v>0</v>
      </c>
      <c r="E187" s="9"/>
      <c r="F187" s="9" t="s">
        <v>495</v>
      </c>
      <c r="G187" s="83">
        <v>6912</v>
      </c>
      <c r="H187" s="83">
        <f t="shared" si="38"/>
        <v>3512.2799999999997</v>
      </c>
      <c r="I187" s="133">
        <f t="shared" si="39"/>
        <v>0.5081</v>
      </c>
      <c r="J187" s="82">
        <v>280</v>
      </c>
      <c r="K187" s="82">
        <v>280</v>
      </c>
      <c r="L187" s="82">
        <v>280</v>
      </c>
      <c r="M187" s="82">
        <v>280</v>
      </c>
      <c r="N187" s="82">
        <v>432.28</v>
      </c>
      <c r="O187" s="82">
        <v>280</v>
      </c>
      <c r="P187" s="82">
        <v>280</v>
      </c>
      <c r="Q187" s="82">
        <v>280</v>
      </c>
      <c r="R187" s="82">
        <v>280</v>
      </c>
      <c r="S187" s="23">
        <v>280</v>
      </c>
      <c r="T187" s="23">
        <v>280</v>
      </c>
      <c r="U187" s="23">
        <v>280</v>
      </c>
      <c r="V187" s="7" t="s">
        <v>624</v>
      </c>
      <c r="W187" s="82">
        <f t="shared" si="40"/>
        <v>3399.7200000000003</v>
      </c>
      <c r="Y187" s="4"/>
      <c r="Z187" s="4"/>
      <c r="AA187" s="82"/>
      <c r="AB187" s="82"/>
      <c r="AC187" s="82"/>
      <c r="AD187" s="23"/>
      <c r="AE187" s="7" t="s">
        <v>423</v>
      </c>
      <c r="AH187" s="23">
        <f>SUM('2021 Detail'!J181:U181)+SUM('2021 Detail'!AA181)</f>
        <v>2672.2799999999997</v>
      </c>
      <c r="AJ187" s="23">
        <f t="shared" si="33"/>
        <v>840</v>
      </c>
      <c r="AL187" t="str">
        <f t="shared" si="41"/>
        <v>Up</v>
      </c>
      <c r="AQ187" s="23">
        <v>280</v>
      </c>
    </row>
    <row r="188" spans="1:43" x14ac:dyDescent="0.2">
      <c r="A188" s="226" t="s">
        <v>146</v>
      </c>
      <c r="B188" s="9" t="s">
        <v>495</v>
      </c>
      <c r="C188" s="9" t="s">
        <v>495</v>
      </c>
      <c r="D188" s="9" t="s">
        <v>495</v>
      </c>
      <c r="E188" s="9"/>
      <c r="F188" s="9">
        <v>0</v>
      </c>
      <c r="G188" s="83">
        <v>16200</v>
      </c>
      <c r="H188" s="83">
        <f t="shared" si="38"/>
        <v>16199.89</v>
      </c>
      <c r="I188" s="133">
        <f t="shared" si="39"/>
        <v>1</v>
      </c>
      <c r="J188" s="82"/>
      <c r="K188" s="82"/>
      <c r="L188" s="82">
        <v>3500</v>
      </c>
      <c r="M188" s="82"/>
      <c r="N188" s="82">
        <v>356.89</v>
      </c>
      <c r="O188" s="82">
        <v>4000</v>
      </c>
      <c r="P188" s="82"/>
      <c r="Q188" s="82"/>
      <c r="R188" s="82">
        <v>4000</v>
      </c>
      <c r="S188" s="23"/>
      <c r="T188" s="23">
        <f>4031+312</f>
        <v>4343</v>
      </c>
      <c r="U188" s="23"/>
      <c r="V188" s="7" t="s">
        <v>625</v>
      </c>
      <c r="W188" s="82">
        <f t="shared" si="40"/>
        <v>0.11000000000058208</v>
      </c>
      <c r="Y188" s="4"/>
      <c r="Z188" s="4"/>
      <c r="AA188" s="82"/>
      <c r="AB188" s="82"/>
      <c r="AC188" s="82"/>
      <c r="AD188" s="23"/>
      <c r="AE188" s="7" t="s">
        <v>423</v>
      </c>
      <c r="AH188" s="23">
        <f>SUM('2021 Detail'!J182:U182)+SUM('2021 Detail'!AA182)</f>
        <v>16199.89</v>
      </c>
      <c r="AJ188" s="23">
        <f t="shared" si="33"/>
        <v>0</v>
      </c>
      <c r="AL188" t="str">
        <f t="shared" si="41"/>
        <v>Same</v>
      </c>
      <c r="AQ188" s="23">
        <v>4343</v>
      </c>
    </row>
    <row r="189" spans="1:43" x14ac:dyDescent="0.2">
      <c r="A189" s="226" t="s">
        <v>147</v>
      </c>
      <c r="B189" s="9" t="s">
        <v>495</v>
      </c>
      <c r="C189" s="9" t="s">
        <v>495</v>
      </c>
      <c r="D189" s="9">
        <v>0</v>
      </c>
      <c r="E189" s="9"/>
      <c r="F189" s="9">
        <v>0</v>
      </c>
      <c r="G189" s="83">
        <v>5455</v>
      </c>
      <c r="H189" s="83">
        <f t="shared" si="38"/>
        <v>5455</v>
      </c>
      <c r="I189" s="133">
        <f t="shared" si="39"/>
        <v>1</v>
      </c>
      <c r="J189" s="82"/>
      <c r="K189" s="82"/>
      <c r="L189" s="82"/>
      <c r="M189" s="82"/>
      <c r="N189" s="82">
        <v>3120.17</v>
      </c>
      <c r="O189" s="82"/>
      <c r="P189" s="82"/>
      <c r="Q189" s="82"/>
      <c r="R189" s="82"/>
      <c r="S189" s="23">
        <v>1000</v>
      </c>
      <c r="T189" s="23"/>
      <c r="U189" s="23">
        <v>1334.83</v>
      </c>
      <c r="V189" s="7" t="s">
        <v>626</v>
      </c>
      <c r="W189" s="82">
        <f t="shared" si="40"/>
        <v>0</v>
      </c>
      <c r="Y189" s="4"/>
      <c r="Z189" s="4"/>
      <c r="AA189" s="82"/>
      <c r="AB189" s="82"/>
      <c r="AC189" s="82"/>
      <c r="AD189" s="23"/>
      <c r="AE189" s="7" t="s">
        <v>423</v>
      </c>
      <c r="AH189" s="23">
        <f>SUM('2021 Detail'!J183:U183)+SUM('2021 Detail'!AA183)</f>
        <v>1120.17</v>
      </c>
      <c r="AJ189" s="23">
        <f t="shared" si="33"/>
        <v>4334.83</v>
      </c>
      <c r="AL189" t="str">
        <f t="shared" si="41"/>
        <v>Up</v>
      </c>
    </row>
    <row r="190" spans="1:43" x14ac:dyDescent="0.2">
      <c r="A190" s="226" t="s">
        <v>148</v>
      </c>
      <c r="B190" s="9" t="s">
        <v>495</v>
      </c>
      <c r="C190" s="9" t="s">
        <v>495</v>
      </c>
      <c r="D190" s="9" t="s">
        <v>495</v>
      </c>
      <c r="E190" s="9"/>
      <c r="F190" s="9">
        <v>0</v>
      </c>
      <c r="G190" s="83">
        <v>28810</v>
      </c>
      <c r="H190" s="83">
        <f t="shared" si="38"/>
        <v>28810</v>
      </c>
      <c r="I190" s="133">
        <f t="shared" si="39"/>
        <v>1</v>
      </c>
      <c r="J190" s="82">
        <v>2410</v>
      </c>
      <c r="K190" s="82">
        <v>2400</v>
      </c>
      <c r="L190" s="82">
        <v>2400</v>
      </c>
      <c r="M190" s="82">
        <v>2400</v>
      </c>
      <c r="N190" s="82">
        <v>2400</v>
      </c>
      <c r="O190" s="82">
        <v>2400</v>
      </c>
      <c r="P190" s="82"/>
      <c r="Q190" s="82">
        <v>4800</v>
      </c>
      <c r="R190" s="82"/>
      <c r="S190" s="23">
        <v>4800</v>
      </c>
      <c r="T190" s="23">
        <v>2400</v>
      </c>
      <c r="U190" s="23">
        <v>2400</v>
      </c>
      <c r="V190" s="7" t="s">
        <v>627</v>
      </c>
      <c r="W190" s="82">
        <f t="shared" si="40"/>
        <v>0</v>
      </c>
      <c r="Y190" s="4"/>
      <c r="Z190" s="4"/>
      <c r="AA190" s="82"/>
      <c r="AB190" s="82"/>
      <c r="AC190" s="82"/>
      <c r="AD190" s="23"/>
      <c r="AE190" s="7" t="s">
        <v>422</v>
      </c>
      <c r="AH190" s="23">
        <f>SUM('2021 Detail'!J184:U184)+SUM('2021 Detail'!AA184)</f>
        <v>25380</v>
      </c>
      <c r="AJ190" s="23">
        <f t="shared" si="33"/>
        <v>3430</v>
      </c>
      <c r="AL190" t="str">
        <f t="shared" si="41"/>
        <v>Up</v>
      </c>
      <c r="AQ190" s="23">
        <v>2115</v>
      </c>
    </row>
    <row r="191" spans="1:43" x14ac:dyDescent="0.2">
      <c r="A191" s="226" t="s">
        <v>149</v>
      </c>
      <c r="B191" s="9" t="s">
        <v>495</v>
      </c>
      <c r="C191" s="9" t="s">
        <v>495</v>
      </c>
      <c r="D191" s="9" t="s">
        <v>495</v>
      </c>
      <c r="E191" s="9"/>
      <c r="F191" s="9" t="s">
        <v>495</v>
      </c>
      <c r="G191" s="83">
        <v>32926</v>
      </c>
      <c r="H191" s="83">
        <f t="shared" si="38"/>
        <v>32926</v>
      </c>
      <c r="I191" s="133">
        <f t="shared" si="39"/>
        <v>1</v>
      </c>
      <c r="J191" s="82">
        <v>3029.74</v>
      </c>
      <c r="K191" s="82">
        <v>0</v>
      </c>
      <c r="L191" s="82">
        <v>5435.7</v>
      </c>
      <c r="M191" s="82">
        <v>2717.84</v>
      </c>
      <c r="N191" s="82">
        <v>2717.84</v>
      </c>
      <c r="O191" s="82">
        <v>2717.84</v>
      </c>
      <c r="P191" s="82">
        <v>2717.84</v>
      </c>
      <c r="Q191" s="82">
        <v>2717.84</v>
      </c>
      <c r="R191" s="82">
        <v>2717.84</v>
      </c>
      <c r="S191" s="23">
        <v>2717.84</v>
      </c>
      <c r="T191" s="23">
        <v>2717.84</v>
      </c>
      <c r="U191" s="23">
        <v>2717.84</v>
      </c>
      <c r="V191" s="7" t="s">
        <v>628</v>
      </c>
      <c r="W191" s="82">
        <f t="shared" si="40"/>
        <v>0</v>
      </c>
      <c r="Y191" s="4"/>
      <c r="Z191" s="4"/>
      <c r="AA191" s="82"/>
      <c r="AB191" s="82"/>
      <c r="AC191" s="82"/>
      <c r="AD191" s="23"/>
      <c r="AE191" s="7" t="s">
        <v>422</v>
      </c>
      <c r="AH191" s="23">
        <f>SUM('2021 Detail'!J185:U185)+SUM('2021 Detail'!AA185)</f>
        <v>36356</v>
      </c>
      <c r="AJ191" s="23">
        <f t="shared" si="33"/>
        <v>-3430</v>
      </c>
      <c r="AL191" t="str">
        <f t="shared" si="41"/>
        <v>Down</v>
      </c>
      <c r="AQ191" s="23">
        <v>3029.66</v>
      </c>
    </row>
    <row r="192" spans="1:43" x14ac:dyDescent="0.2">
      <c r="A192" s="226" t="s">
        <v>150</v>
      </c>
      <c r="B192" s="9" t="s">
        <v>495</v>
      </c>
      <c r="C192" s="9" t="s">
        <v>495</v>
      </c>
      <c r="D192" s="9" t="s">
        <v>495</v>
      </c>
      <c r="E192" s="9"/>
      <c r="F192" s="9">
        <v>0</v>
      </c>
      <c r="G192" s="83">
        <v>6859</v>
      </c>
      <c r="H192" s="83">
        <f t="shared" si="38"/>
        <v>6859</v>
      </c>
      <c r="I192" s="133">
        <f t="shared" si="39"/>
        <v>1</v>
      </c>
      <c r="J192" s="82"/>
      <c r="K192" s="82"/>
      <c r="L192" s="82"/>
      <c r="M192" s="82">
        <v>2286.36</v>
      </c>
      <c r="N192" s="82">
        <v>571.58000000000004</v>
      </c>
      <c r="O192" s="82">
        <v>571.58000000000004</v>
      </c>
      <c r="P192" s="82">
        <v>571.58000000000004</v>
      </c>
      <c r="Q192" s="82">
        <v>571.58000000000004</v>
      </c>
      <c r="R192" s="82">
        <v>571.58000000000004</v>
      </c>
      <c r="S192" s="23">
        <v>571.58000000000004</v>
      </c>
      <c r="T192" s="23">
        <v>571.58000000000004</v>
      </c>
      <c r="U192" s="23">
        <v>571.58000000000004</v>
      </c>
      <c r="V192" s="7" t="s">
        <v>629</v>
      </c>
      <c r="W192" s="82">
        <f t="shared" si="40"/>
        <v>0</v>
      </c>
      <c r="Y192" s="4"/>
      <c r="Z192" s="4"/>
      <c r="AA192" s="82"/>
      <c r="AB192" s="82"/>
      <c r="AC192" s="82"/>
      <c r="AD192" s="23"/>
      <c r="AE192" s="7" t="s">
        <v>422</v>
      </c>
      <c r="AH192" s="23">
        <f>SUM('2021 Detail'!J186:U186)+SUM('2021 Detail'!AA186)</f>
        <v>6859</v>
      </c>
      <c r="AJ192" s="23">
        <f t="shared" si="33"/>
        <v>0</v>
      </c>
      <c r="AL192" t="str">
        <f t="shared" si="41"/>
        <v>Same</v>
      </c>
    </row>
    <row r="193" spans="1:44" x14ac:dyDescent="0.2">
      <c r="A193" s="226" t="s">
        <v>151</v>
      </c>
      <c r="B193" s="9" t="s">
        <v>495</v>
      </c>
      <c r="C193" s="9" t="s">
        <v>495</v>
      </c>
      <c r="D193" s="9" t="s">
        <v>495</v>
      </c>
      <c r="E193" s="9"/>
      <c r="F193" s="9">
        <v>0</v>
      </c>
      <c r="G193" s="83">
        <v>25239</v>
      </c>
      <c r="H193" s="83">
        <f t="shared" si="38"/>
        <v>25239</v>
      </c>
      <c r="I193" s="133">
        <f t="shared" si="39"/>
        <v>1</v>
      </c>
      <c r="J193" s="82"/>
      <c r="K193" s="82"/>
      <c r="L193" s="82">
        <v>5000</v>
      </c>
      <c r="M193" s="82"/>
      <c r="N193" s="82">
        <v>556.01</v>
      </c>
      <c r="O193" s="82">
        <v>3500</v>
      </c>
      <c r="P193" s="82">
        <v>2500</v>
      </c>
      <c r="Q193" s="82">
        <v>2000</v>
      </c>
      <c r="R193" s="82">
        <v>5000</v>
      </c>
      <c r="S193" s="23"/>
      <c r="T193" s="23">
        <v>3000</v>
      </c>
      <c r="U193" s="23">
        <v>3682.99</v>
      </c>
      <c r="V193" s="7" t="s">
        <v>630</v>
      </c>
      <c r="W193" s="82">
        <f t="shared" si="40"/>
        <v>0</v>
      </c>
      <c r="Y193" s="4"/>
      <c r="Z193" s="4"/>
      <c r="AA193" s="82"/>
      <c r="AB193" s="82"/>
      <c r="AC193" s="82"/>
      <c r="AD193" s="23"/>
      <c r="AE193" s="7" t="s">
        <v>423</v>
      </c>
      <c r="AH193" s="23">
        <f>SUM('2021 Detail'!J187:U187)+SUM('2021 Detail'!AA187)</f>
        <v>25239.010000000002</v>
      </c>
      <c r="AJ193" s="23">
        <f t="shared" si="33"/>
        <v>-1.0000000002037268E-2</v>
      </c>
      <c r="AL193" t="str">
        <f t="shared" si="41"/>
        <v>Down</v>
      </c>
      <c r="AQ193" s="23">
        <v>7683</v>
      </c>
    </row>
    <row r="194" spans="1:44" x14ac:dyDescent="0.2">
      <c r="A194" s="226" t="s">
        <v>152</v>
      </c>
      <c r="B194" s="9" t="s">
        <v>495</v>
      </c>
      <c r="C194" s="9" t="s">
        <v>495</v>
      </c>
      <c r="D194" s="9" t="s">
        <v>495</v>
      </c>
      <c r="E194" s="9"/>
      <c r="F194" s="9">
        <v>0</v>
      </c>
      <c r="G194" s="83">
        <v>6714</v>
      </c>
      <c r="H194" s="83">
        <f t="shared" si="38"/>
        <v>6713.65</v>
      </c>
      <c r="I194" s="133">
        <f t="shared" si="39"/>
        <v>0.99990000000000001</v>
      </c>
      <c r="J194" s="82"/>
      <c r="K194" s="82"/>
      <c r="L194" s="82"/>
      <c r="M194" s="82"/>
      <c r="N194" s="82">
        <v>147.9</v>
      </c>
      <c r="O194" s="82"/>
      <c r="P194" s="82"/>
      <c r="Q194" s="82"/>
      <c r="R194" s="82"/>
      <c r="S194" s="23"/>
      <c r="T194" s="23"/>
      <c r="U194" s="23">
        <v>6565.75</v>
      </c>
      <c r="V194" s="7" t="s">
        <v>631</v>
      </c>
      <c r="W194" s="82">
        <f t="shared" si="40"/>
        <v>0.3500000000003638</v>
      </c>
      <c r="Y194" s="4"/>
      <c r="Z194" s="4"/>
      <c r="AA194" s="82"/>
      <c r="AB194" s="82"/>
      <c r="AC194" s="82"/>
      <c r="AD194" s="23"/>
      <c r="AE194" s="7" t="s">
        <v>423</v>
      </c>
      <c r="AH194" s="23">
        <f>SUM('2021 Detail'!J188:U188)+SUM('2021 Detail'!AA188)</f>
        <v>6713.9</v>
      </c>
      <c r="AJ194" s="23">
        <f t="shared" si="33"/>
        <v>-0.25</v>
      </c>
      <c r="AL194" t="str">
        <f t="shared" si="41"/>
        <v>Down</v>
      </c>
      <c r="AQ194" s="23">
        <v>6566</v>
      </c>
    </row>
    <row r="195" spans="1:44" x14ac:dyDescent="0.2">
      <c r="A195" s="226" t="s">
        <v>153</v>
      </c>
      <c r="B195" s="9" t="s">
        <v>495</v>
      </c>
      <c r="C195" s="9" t="s">
        <v>495</v>
      </c>
      <c r="D195" s="9" t="s">
        <v>495</v>
      </c>
      <c r="E195" s="9"/>
      <c r="F195" s="9" t="s">
        <v>495</v>
      </c>
      <c r="G195" s="83">
        <v>43482</v>
      </c>
      <c r="H195" s="83">
        <f t="shared" si="38"/>
        <v>36000</v>
      </c>
      <c r="I195" s="133">
        <f t="shared" si="39"/>
        <v>0.82789999999999997</v>
      </c>
      <c r="J195" s="82">
        <v>2813</v>
      </c>
      <c r="K195" s="82">
        <v>2811</v>
      </c>
      <c r="L195" s="82">
        <v>2811</v>
      </c>
      <c r="M195" s="82">
        <v>2811</v>
      </c>
      <c r="N195" s="82">
        <v>2811</v>
      </c>
      <c r="O195" s="82">
        <v>2811</v>
      </c>
      <c r="P195" s="82">
        <v>2811</v>
      </c>
      <c r="Q195" s="82">
        <v>2811</v>
      </c>
      <c r="R195" s="82">
        <v>2811</v>
      </c>
      <c r="S195" s="23">
        <v>2811</v>
      </c>
      <c r="T195" s="23">
        <v>5077</v>
      </c>
      <c r="U195" s="23">
        <v>2811</v>
      </c>
      <c r="V195" s="7" t="s">
        <v>632</v>
      </c>
      <c r="W195" s="82">
        <f t="shared" si="40"/>
        <v>7482</v>
      </c>
      <c r="Y195" s="4"/>
      <c r="Z195" s="4"/>
      <c r="AA195" s="82"/>
      <c r="AB195" s="82"/>
      <c r="AC195" s="82"/>
      <c r="AD195" s="23"/>
      <c r="AE195" s="7" t="s">
        <v>424</v>
      </c>
      <c r="AH195" s="23">
        <f>SUM('2021 Detail'!J189:U189)+SUM('2021 Detail'!AA189)</f>
        <v>34045.519999999997</v>
      </c>
      <c r="AJ195" s="23">
        <f t="shared" si="33"/>
        <v>1954.4800000000032</v>
      </c>
      <c r="AL195" t="str">
        <f t="shared" si="41"/>
        <v>Up</v>
      </c>
      <c r="AQ195" s="23">
        <v>0</v>
      </c>
    </row>
    <row r="196" spans="1:44" x14ac:dyDescent="0.2">
      <c r="A196" s="226" t="s">
        <v>154</v>
      </c>
      <c r="B196" s="9" t="s">
        <v>495</v>
      </c>
      <c r="C196" s="9">
        <v>0</v>
      </c>
      <c r="D196" s="9">
        <v>0</v>
      </c>
      <c r="E196" s="9"/>
      <c r="F196" s="9">
        <v>0</v>
      </c>
      <c r="G196" s="83">
        <v>4551</v>
      </c>
      <c r="H196" s="83">
        <f t="shared" si="38"/>
        <v>0</v>
      </c>
      <c r="I196" s="133">
        <f t="shared" si="39"/>
        <v>0</v>
      </c>
      <c r="J196" s="82"/>
      <c r="K196" s="82"/>
      <c r="L196" s="82"/>
      <c r="M196" s="82"/>
      <c r="N196" s="82"/>
      <c r="O196" s="82"/>
      <c r="P196" s="82"/>
      <c r="Q196" s="82"/>
      <c r="R196" s="82"/>
      <c r="S196" s="23"/>
      <c r="T196" s="23"/>
      <c r="U196" s="23"/>
      <c r="V196" s="7" t="s">
        <v>633</v>
      </c>
      <c r="W196" s="82">
        <f t="shared" si="40"/>
        <v>4551</v>
      </c>
      <c r="Y196" s="4"/>
      <c r="Z196" s="4"/>
      <c r="AA196" s="82"/>
      <c r="AB196" s="82"/>
      <c r="AC196" s="82"/>
      <c r="AD196" s="23"/>
      <c r="AE196" s="7" t="s">
        <v>424</v>
      </c>
      <c r="AH196" s="23">
        <f>SUM('2021 Detail'!J190:U190)+SUM('2021 Detail'!AA190)</f>
        <v>4566</v>
      </c>
      <c r="AJ196" s="23">
        <f t="shared" si="33"/>
        <v>-4566</v>
      </c>
      <c r="AL196" t="str">
        <f t="shared" si="41"/>
        <v>Down</v>
      </c>
      <c r="AQ196" s="23">
        <v>0</v>
      </c>
    </row>
    <row r="197" spans="1:44" x14ac:dyDescent="0.2">
      <c r="A197" s="226" t="s">
        <v>155</v>
      </c>
      <c r="B197" s="9" t="s">
        <v>495</v>
      </c>
      <c r="C197" s="9" t="s">
        <v>495</v>
      </c>
      <c r="D197" s="9" t="s">
        <v>495</v>
      </c>
      <c r="E197" s="9"/>
      <c r="F197" s="9" t="s">
        <v>495</v>
      </c>
      <c r="G197" s="83">
        <v>12563</v>
      </c>
      <c r="H197" s="83">
        <f t="shared" si="38"/>
        <v>6250</v>
      </c>
      <c r="I197" s="133">
        <f t="shared" si="39"/>
        <v>0.4975</v>
      </c>
      <c r="J197" s="82">
        <v>250</v>
      </c>
      <c r="K197" s="82">
        <v>250</v>
      </c>
      <c r="L197" s="82">
        <v>250</v>
      </c>
      <c r="M197" s="82">
        <v>250</v>
      </c>
      <c r="N197" s="82">
        <v>250</v>
      </c>
      <c r="O197" s="82">
        <v>500</v>
      </c>
      <c r="P197" s="82">
        <v>500</v>
      </c>
      <c r="Q197" s="82">
        <v>500</v>
      </c>
      <c r="R197" s="82">
        <v>500</v>
      </c>
      <c r="S197" s="23">
        <v>1000</v>
      </c>
      <c r="T197" s="23">
        <v>1000</v>
      </c>
      <c r="U197" s="23">
        <v>1000</v>
      </c>
      <c r="V197" s="7" t="s">
        <v>634</v>
      </c>
      <c r="W197" s="82">
        <f t="shared" si="40"/>
        <v>6313</v>
      </c>
      <c r="Y197" s="4"/>
      <c r="Z197" s="4"/>
      <c r="AA197" s="82"/>
      <c r="AB197" s="82"/>
      <c r="AC197" s="82"/>
      <c r="AD197" s="23"/>
      <c r="AE197" s="7" t="s">
        <v>419</v>
      </c>
      <c r="AH197" s="23">
        <f>SUM('2021 Detail'!J191:U191)+SUM('2021 Detail'!AA191)</f>
        <v>6271</v>
      </c>
      <c r="AJ197" s="23">
        <f t="shared" si="33"/>
        <v>-21</v>
      </c>
      <c r="AL197" t="str">
        <f t="shared" si="41"/>
        <v>Down</v>
      </c>
      <c r="AQ197" s="23">
        <v>2771</v>
      </c>
    </row>
    <row r="198" spans="1:44" x14ac:dyDescent="0.2">
      <c r="A198" s="226" t="s">
        <v>156</v>
      </c>
      <c r="B198" s="9" t="s">
        <v>495</v>
      </c>
      <c r="C198" s="9" t="s">
        <v>495</v>
      </c>
      <c r="D198" s="9" t="s">
        <v>495</v>
      </c>
      <c r="E198" s="9"/>
      <c r="F198" s="9">
        <v>0</v>
      </c>
      <c r="G198" s="83">
        <v>2154</v>
      </c>
      <c r="H198" s="83">
        <f t="shared" si="38"/>
        <v>200</v>
      </c>
      <c r="I198" s="133">
        <f t="shared" si="39"/>
        <v>9.2899999999999996E-2</v>
      </c>
      <c r="J198" s="82"/>
      <c r="K198" s="82"/>
      <c r="L198" s="82">
        <v>200</v>
      </c>
      <c r="M198" s="82"/>
      <c r="N198" s="82"/>
      <c r="O198" s="82"/>
      <c r="P198" s="82"/>
      <c r="Q198" s="82"/>
      <c r="R198" s="82"/>
      <c r="S198" s="23"/>
      <c r="T198" s="23"/>
      <c r="U198" s="23"/>
      <c r="V198" s="7" t="s">
        <v>635</v>
      </c>
      <c r="W198" s="82">
        <f t="shared" si="40"/>
        <v>1954</v>
      </c>
      <c r="Y198" s="4"/>
      <c r="Z198" s="4"/>
      <c r="AA198" s="82"/>
      <c r="AB198" s="82"/>
      <c r="AC198" s="82"/>
      <c r="AD198" s="23"/>
      <c r="AE198" s="7" t="s">
        <v>419</v>
      </c>
      <c r="AH198" s="23">
        <f>SUM('2021 Detail'!J192:U192)+SUM('2021 Detail'!AA192)</f>
        <v>0</v>
      </c>
      <c r="AJ198" s="23">
        <f t="shared" si="33"/>
        <v>200</v>
      </c>
      <c r="AL198" t="str">
        <f t="shared" si="41"/>
        <v>Up</v>
      </c>
    </row>
    <row r="199" spans="1:44" x14ac:dyDescent="0.2">
      <c r="A199" s="226" t="s">
        <v>157</v>
      </c>
      <c r="B199" s="9">
        <v>0</v>
      </c>
      <c r="C199" s="9" t="s">
        <v>495</v>
      </c>
      <c r="D199" s="9" t="s">
        <v>495</v>
      </c>
      <c r="E199" s="9"/>
      <c r="F199" s="9" t="s">
        <v>495</v>
      </c>
      <c r="G199" s="83">
        <f>10847-1000</f>
        <v>9847</v>
      </c>
      <c r="H199" s="83">
        <f t="shared" si="38"/>
        <v>9847</v>
      </c>
      <c r="I199" s="133">
        <f t="shared" si="39"/>
        <v>1</v>
      </c>
      <c r="J199" s="82">
        <v>903.99</v>
      </c>
      <c r="K199" s="82">
        <v>903.91</v>
      </c>
      <c r="L199" s="82">
        <v>903.91</v>
      </c>
      <c r="M199" s="82">
        <v>903.91</v>
      </c>
      <c r="N199" s="82">
        <v>903.91</v>
      </c>
      <c r="O199" s="82">
        <v>778.91</v>
      </c>
      <c r="P199" s="82">
        <v>653.91</v>
      </c>
      <c r="Q199" s="82">
        <v>778.91</v>
      </c>
      <c r="R199" s="82">
        <v>778.91</v>
      </c>
      <c r="S199" s="23">
        <v>778.91</v>
      </c>
      <c r="T199" s="23">
        <v>778.91</v>
      </c>
      <c r="U199" s="23">
        <v>778.91</v>
      </c>
      <c r="V199" s="7" t="s">
        <v>636</v>
      </c>
      <c r="W199" s="82">
        <f t="shared" si="40"/>
        <v>0</v>
      </c>
      <c r="Y199" s="4"/>
      <c r="Z199" s="4"/>
      <c r="AA199" s="82"/>
      <c r="AB199" s="82"/>
      <c r="AC199" s="82"/>
      <c r="AD199" s="23"/>
      <c r="AE199" s="7" t="s">
        <v>426</v>
      </c>
      <c r="AH199" s="23">
        <f>SUM('2021 Detail'!J193:U193)+SUM('2021 Detail'!AA193)</f>
        <v>10847</v>
      </c>
      <c r="AJ199" s="23">
        <f t="shared" si="33"/>
        <v>-1000</v>
      </c>
      <c r="AL199" t="str">
        <f t="shared" si="41"/>
        <v>Down</v>
      </c>
      <c r="AQ199" s="23">
        <v>903.91</v>
      </c>
    </row>
    <row r="200" spans="1:44" x14ac:dyDescent="0.2">
      <c r="A200" s="226" t="s">
        <v>158</v>
      </c>
      <c r="B200" s="9" t="s">
        <v>495</v>
      </c>
      <c r="C200" s="9" t="s">
        <v>495</v>
      </c>
      <c r="D200" s="9" t="s">
        <v>495</v>
      </c>
      <c r="E200" s="9"/>
      <c r="F200" s="9" t="s">
        <v>495</v>
      </c>
      <c r="G200" s="83">
        <v>6211</v>
      </c>
      <c r="H200" s="83">
        <f t="shared" si="38"/>
        <v>3600</v>
      </c>
      <c r="I200" s="133">
        <f t="shared" si="39"/>
        <v>0.5796</v>
      </c>
      <c r="J200" s="82">
        <v>200</v>
      </c>
      <c r="K200" s="82">
        <v>400</v>
      </c>
      <c r="L200" s="82">
        <v>300</v>
      </c>
      <c r="M200" s="82">
        <v>300</v>
      </c>
      <c r="N200" s="82">
        <v>300</v>
      </c>
      <c r="O200" s="82">
        <v>300</v>
      </c>
      <c r="P200" s="82">
        <v>300</v>
      </c>
      <c r="Q200" s="82">
        <v>300</v>
      </c>
      <c r="R200" s="82">
        <v>300</v>
      </c>
      <c r="S200" s="23">
        <v>300</v>
      </c>
      <c r="T200" s="23">
        <v>300</v>
      </c>
      <c r="U200" s="23">
        <v>300</v>
      </c>
      <c r="V200" s="7" t="s">
        <v>637</v>
      </c>
      <c r="W200" s="82">
        <f t="shared" si="40"/>
        <v>2611</v>
      </c>
      <c r="Y200" s="4"/>
      <c r="Z200" s="4"/>
      <c r="AA200" s="82"/>
      <c r="AB200" s="82"/>
      <c r="AC200" s="82"/>
      <c r="AD200" s="23"/>
      <c r="AE200" s="7" t="s">
        <v>419</v>
      </c>
      <c r="AH200" s="23">
        <f>SUM('2021 Detail'!J194:U194)+SUM('2021 Detail'!AA194)</f>
        <v>2400</v>
      </c>
      <c r="AJ200" s="23">
        <f t="shared" si="33"/>
        <v>1200</v>
      </c>
      <c r="AL200" t="str">
        <f t="shared" si="41"/>
        <v>Up</v>
      </c>
      <c r="AQ200" s="23">
        <v>200</v>
      </c>
    </row>
    <row r="201" spans="1:44" x14ac:dyDescent="0.2">
      <c r="A201" s="226" t="s">
        <v>159</v>
      </c>
      <c r="B201" s="9" t="s">
        <v>495</v>
      </c>
      <c r="C201" s="9">
        <v>0</v>
      </c>
      <c r="D201" s="9">
        <v>0</v>
      </c>
      <c r="E201" s="9"/>
      <c r="F201" s="9" t="s">
        <v>638</v>
      </c>
      <c r="G201" s="83">
        <v>31948</v>
      </c>
      <c r="H201" s="83">
        <f t="shared" si="38"/>
        <v>3000</v>
      </c>
      <c r="I201" s="133">
        <f t="shared" si="39"/>
        <v>9.3899999999999997E-2</v>
      </c>
      <c r="J201" s="82">
        <v>250</v>
      </c>
      <c r="K201" s="82">
        <v>250</v>
      </c>
      <c r="L201" s="82">
        <v>250</v>
      </c>
      <c r="M201" s="82">
        <v>250</v>
      </c>
      <c r="N201" s="82">
        <v>250</v>
      </c>
      <c r="O201" s="82">
        <v>250</v>
      </c>
      <c r="P201" s="82">
        <v>250</v>
      </c>
      <c r="Q201" s="82">
        <v>250</v>
      </c>
      <c r="R201" s="82">
        <v>250</v>
      </c>
      <c r="S201" s="23">
        <v>250</v>
      </c>
      <c r="T201" s="23">
        <v>250</v>
      </c>
      <c r="U201" s="23">
        <v>250</v>
      </c>
      <c r="V201" s="7" t="s">
        <v>639</v>
      </c>
      <c r="W201" s="82">
        <f t="shared" si="40"/>
        <v>28948</v>
      </c>
      <c r="Y201" s="4"/>
      <c r="Z201" s="4"/>
      <c r="AA201" s="82"/>
      <c r="AB201" s="82"/>
      <c r="AC201" s="82"/>
      <c r="AD201" s="23"/>
      <c r="AE201" s="7" t="s">
        <v>425</v>
      </c>
      <c r="AH201" s="23">
        <f>SUM('2021 Detail'!J195:U195)+SUM('2021 Detail'!AA195)</f>
        <v>5000</v>
      </c>
      <c r="AJ201" s="23">
        <f t="shared" si="33"/>
        <v>-2000</v>
      </c>
      <c r="AL201" t="str">
        <f t="shared" si="41"/>
        <v>Down</v>
      </c>
      <c r="AQ201" s="23">
        <v>250</v>
      </c>
    </row>
    <row r="202" spans="1:44" x14ac:dyDescent="0.2">
      <c r="A202" s="226" t="s">
        <v>160</v>
      </c>
      <c r="B202" s="9" t="s">
        <v>495</v>
      </c>
      <c r="C202" s="9" t="s">
        <v>495</v>
      </c>
      <c r="D202" s="9">
        <v>0</v>
      </c>
      <c r="E202" s="9"/>
      <c r="F202" s="9">
        <v>0</v>
      </c>
      <c r="G202" s="83">
        <v>31949</v>
      </c>
      <c r="H202" s="83">
        <f t="shared" si="38"/>
        <v>10000</v>
      </c>
      <c r="I202" s="133">
        <f t="shared" si="39"/>
        <v>0.313</v>
      </c>
      <c r="J202" s="82"/>
      <c r="K202" s="82"/>
      <c r="L202" s="82"/>
      <c r="M202" s="82"/>
      <c r="N202" s="82"/>
      <c r="O202" s="82"/>
      <c r="P202" s="82"/>
      <c r="Q202" s="82"/>
      <c r="R202" s="82"/>
      <c r="S202" s="23"/>
      <c r="T202" s="23"/>
      <c r="U202" s="23">
        <v>10000</v>
      </c>
      <c r="V202" s="7" t="s">
        <v>640</v>
      </c>
      <c r="W202" s="82">
        <f t="shared" si="40"/>
        <v>21949</v>
      </c>
      <c r="Y202" s="4"/>
      <c r="Z202" s="4"/>
      <c r="AA202" s="82"/>
      <c r="AB202" s="82"/>
      <c r="AC202" s="82"/>
      <c r="AD202" s="23"/>
      <c r="AE202" s="7" t="s">
        <v>425</v>
      </c>
      <c r="AH202" s="23">
        <f>SUM('2021 Detail'!J196:U196)+SUM('2021 Detail'!AA196)</f>
        <v>10000</v>
      </c>
      <c r="AJ202" s="23">
        <f t="shared" si="33"/>
        <v>0</v>
      </c>
      <c r="AL202" t="str">
        <f t="shared" si="41"/>
        <v>Same</v>
      </c>
      <c r="AQ202" s="23">
        <v>10000</v>
      </c>
    </row>
    <row r="203" spans="1:44" x14ac:dyDescent="0.2">
      <c r="A203" s="226" t="s">
        <v>161</v>
      </c>
      <c r="B203" s="9" t="s">
        <v>495</v>
      </c>
      <c r="C203" s="9">
        <v>0</v>
      </c>
      <c r="D203" s="9">
        <v>0</v>
      </c>
      <c r="E203" s="9"/>
      <c r="F203" s="9" t="s">
        <v>495</v>
      </c>
      <c r="G203" s="83">
        <v>16421</v>
      </c>
      <c r="H203" s="83">
        <f t="shared" si="38"/>
        <v>16420.75</v>
      </c>
      <c r="I203" s="133">
        <f t="shared" si="39"/>
        <v>1</v>
      </c>
      <c r="J203" s="82">
        <v>1000</v>
      </c>
      <c r="K203" s="82">
        <v>1000</v>
      </c>
      <c r="L203" s="82">
        <v>1000</v>
      </c>
      <c r="M203" s="82">
        <v>1000</v>
      </c>
      <c r="N203" s="82">
        <v>1361.75</v>
      </c>
      <c r="O203" s="82">
        <v>1000</v>
      </c>
      <c r="P203" s="82">
        <v>1000</v>
      </c>
      <c r="Q203" s="82">
        <v>1000</v>
      </c>
      <c r="R203" s="82">
        <v>1000</v>
      </c>
      <c r="S203" s="23">
        <v>1000</v>
      </c>
      <c r="T203" s="23">
        <v>1000</v>
      </c>
      <c r="U203" s="23">
        <v>1000</v>
      </c>
      <c r="V203" s="7" t="s">
        <v>641</v>
      </c>
      <c r="W203" s="82">
        <f t="shared" si="40"/>
        <v>0.25</v>
      </c>
      <c r="Y203" s="4"/>
      <c r="Z203" s="4"/>
      <c r="AA203" s="82">
        <v>4059</v>
      </c>
      <c r="AB203" s="82"/>
      <c r="AC203" s="82"/>
      <c r="AD203" s="23"/>
      <c r="AE203" s="7" t="s">
        <v>423</v>
      </c>
      <c r="AH203" s="23">
        <f>SUM('2021 Detail'!J197:U197)+SUM('2021 Detail'!AA197)</f>
        <v>16420.75</v>
      </c>
      <c r="AJ203" s="23">
        <f t="shared" si="33"/>
        <v>0</v>
      </c>
      <c r="AL203" t="str">
        <f t="shared" si="41"/>
        <v>Same</v>
      </c>
      <c r="AQ203" s="23">
        <v>5059</v>
      </c>
    </row>
    <row r="204" spans="1:44" x14ac:dyDescent="0.2">
      <c r="A204" s="226" t="s">
        <v>162</v>
      </c>
      <c r="B204" s="9" t="s">
        <v>495</v>
      </c>
      <c r="C204" s="9" t="s">
        <v>495</v>
      </c>
      <c r="D204" s="9">
        <v>0</v>
      </c>
      <c r="E204" s="9"/>
      <c r="F204" s="9">
        <v>0</v>
      </c>
      <c r="G204" s="83">
        <v>14787</v>
      </c>
      <c r="H204" s="83">
        <f t="shared" si="38"/>
        <v>14787</v>
      </c>
      <c r="I204" s="133">
        <f t="shared" si="39"/>
        <v>1</v>
      </c>
      <c r="J204" s="82">
        <v>1000</v>
      </c>
      <c r="K204" s="82">
        <v>1000</v>
      </c>
      <c r="L204" s="82">
        <v>1000</v>
      </c>
      <c r="M204" s="82">
        <v>1000</v>
      </c>
      <c r="N204" s="82">
        <v>1325.75</v>
      </c>
      <c r="O204" s="82">
        <v>1000</v>
      </c>
      <c r="P204" s="82">
        <v>2230</v>
      </c>
      <c r="Q204" s="82">
        <v>1000</v>
      </c>
      <c r="R204" s="82">
        <v>1000</v>
      </c>
      <c r="S204" s="23">
        <v>1000</v>
      </c>
      <c r="T204" s="23">
        <v>1000</v>
      </c>
      <c r="U204" s="23">
        <v>2231.25</v>
      </c>
      <c r="V204" s="7" t="s">
        <v>642</v>
      </c>
      <c r="W204" s="82">
        <f t="shared" si="40"/>
        <v>0</v>
      </c>
      <c r="Y204" s="4"/>
      <c r="Z204" s="4"/>
      <c r="AA204" s="82"/>
      <c r="AB204" s="82"/>
      <c r="AC204" s="82"/>
      <c r="AD204" s="23"/>
      <c r="AE204" s="7" t="s">
        <v>423</v>
      </c>
      <c r="AH204" s="23">
        <f>SUM('2021 Detail'!J198:U198)+SUM('2021 Detail'!AA198)</f>
        <v>14787</v>
      </c>
      <c r="AJ204" s="23">
        <f t="shared" si="33"/>
        <v>0</v>
      </c>
      <c r="AL204" t="str">
        <f t="shared" si="41"/>
        <v>Same</v>
      </c>
      <c r="AQ204" s="23">
        <v>2261.25</v>
      </c>
    </row>
    <row r="205" spans="1:44" x14ac:dyDescent="0.2">
      <c r="A205" s="226" t="s">
        <v>163</v>
      </c>
      <c r="B205" s="9">
        <v>0</v>
      </c>
      <c r="C205" s="9" t="s">
        <v>495</v>
      </c>
      <c r="D205" s="9">
        <v>0</v>
      </c>
      <c r="E205" s="9"/>
      <c r="F205" s="9" t="s">
        <v>495</v>
      </c>
      <c r="G205" s="83">
        <v>19853</v>
      </c>
      <c r="H205" s="83">
        <f t="shared" si="38"/>
        <v>19853.000000000004</v>
      </c>
      <c r="I205" s="133">
        <f t="shared" si="39"/>
        <v>1</v>
      </c>
      <c r="J205" s="82">
        <v>1758.49</v>
      </c>
      <c r="K205" s="82">
        <v>1645.01</v>
      </c>
      <c r="L205" s="82">
        <v>1644.95</v>
      </c>
      <c r="M205" s="82">
        <v>1644.95</v>
      </c>
      <c r="N205" s="82">
        <v>1644.95</v>
      </c>
      <c r="O205" s="82">
        <v>1644.95</v>
      </c>
      <c r="P205" s="82">
        <v>1644.95</v>
      </c>
      <c r="Q205" s="82">
        <v>1644.95</v>
      </c>
      <c r="R205" s="82">
        <v>1644.95</v>
      </c>
      <c r="S205" s="23">
        <v>1644.95</v>
      </c>
      <c r="T205" s="23">
        <v>1644.95</v>
      </c>
      <c r="U205" s="23">
        <v>1644.95</v>
      </c>
      <c r="V205" s="7" t="s">
        <v>643</v>
      </c>
      <c r="W205" s="82">
        <f t="shared" si="40"/>
        <v>0</v>
      </c>
      <c r="Y205" s="4"/>
      <c r="Z205" s="4"/>
      <c r="AA205" s="82"/>
      <c r="AB205" s="82"/>
      <c r="AC205" s="82"/>
      <c r="AD205" s="23"/>
      <c r="AE205" s="7" t="s">
        <v>426</v>
      </c>
      <c r="AH205" s="23">
        <f>SUM('2021 Detail'!J199:U199)+SUM('2021 Detail'!AA199)</f>
        <v>19853</v>
      </c>
      <c r="AJ205" s="23">
        <f t="shared" si="33"/>
        <v>0</v>
      </c>
      <c r="AL205" t="str">
        <f t="shared" si="41"/>
        <v>Same</v>
      </c>
      <c r="AQ205" s="23">
        <v>1550.41</v>
      </c>
      <c r="AR205" t="s">
        <v>1114</v>
      </c>
    </row>
    <row r="206" spans="1:44" x14ac:dyDescent="0.2">
      <c r="A206" s="226" t="s">
        <v>164</v>
      </c>
      <c r="B206" s="9" t="s">
        <v>495</v>
      </c>
      <c r="C206" s="9" t="s">
        <v>495</v>
      </c>
      <c r="D206" s="9">
        <v>0</v>
      </c>
      <c r="E206" s="9"/>
      <c r="F206" s="9">
        <v>0</v>
      </c>
      <c r="G206" s="83">
        <f>2681+1000</f>
        <v>3681</v>
      </c>
      <c r="H206" s="83">
        <f t="shared" si="38"/>
        <v>3681</v>
      </c>
      <c r="I206" s="133">
        <f t="shared" si="39"/>
        <v>1</v>
      </c>
      <c r="J206" s="82"/>
      <c r="K206" s="82"/>
      <c r="L206" s="82">
        <v>670.25</v>
      </c>
      <c r="M206" s="82">
        <v>0</v>
      </c>
      <c r="N206" s="82">
        <v>0</v>
      </c>
      <c r="O206" s="82">
        <v>1003.59</v>
      </c>
      <c r="P206" s="82"/>
      <c r="Q206" s="82"/>
      <c r="R206" s="82">
        <v>1003.58</v>
      </c>
      <c r="S206" s="23"/>
      <c r="T206" s="23"/>
      <c r="U206" s="23">
        <v>1003.58</v>
      </c>
      <c r="V206" s="7" t="s">
        <v>644</v>
      </c>
      <c r="W206" s="82">
        <f t="shared" si="40"/>
        <v>0</v>
      </c>
      <c r="Y206" s="4"/>
      <c r="Z206" s="4"/>
      <c r="AA206" s="82"/>
      <c r="AB206" s="82"/>
      <c r="AC206" s="82"/>
      <c r="AD206" s="23"/>
      <c r="AE206" s="7" t="s">
        <v>426</v>
      </c>
      <c r="AH206" s="23">
        <f>SUM('2021 Detail'!J200:U200)+SUM('2021 Detail'!AA200)</f>
        <v>2681</v>
      </c>
      <c r="AJ206" s="23">
        <f t="shared" si="33"/>
        <v>1000</v>
      </c>
      <c r="AL206" t="str">
        <f t="shared" si="41"/>
        <v>Up</v>
      </c>
    </row>
    <row r="207" spans="1:44" x14ac:dyDescent="0.2">
      <c r="A207" s="226" t="s">
        <v>165</v>
      </c>
      <c r="B207" s="9">
        <v>0</v>
      </c>
      <c r="C207" s="9" t="s">
        <v>495</v>
      </c>
      <c r="D207" s="9">
        <v>0</v>
      </c>
      <c r="E207" s="9"/>
      <c r="F207" s="9" t="s">
        <v>495</v>
      </c>
      <c r="G207" s="83">
        <v>12712</v>
      </c>
      <c r="H207" s="83">
        <f t="shared" si="38"/>
        <v>12712</v>
      </c>
      <c r="I207" s="133">
        <f t="shared" si="39"/>
        <v>1</v>
      </c>
      <c r="J207" s="82">
        <v>1059.3699999999999</v>
      </c>
      <c r="K207" s="82">
        <v>1059.33</v>
      </c>
      <c r="L207" s="82">
        <v>1059.33</v>
      </c>
      <c r="M207" s="82">
        <v>1059.33</v>
      </c>
      <c r="N207" s="82">
        <v>1059.33</v>
      </c>
      <c r="O207" s="82">
        <v>1059.33</v>
      </c>
      <c r="P207" s="82">
        <v>1059.33</v>
      </c>
      <c r="Q207" s="82">
        <v>1059.33</v>
      </c>
      <c r="R207" s="82">
        <v>1059.33</v>
      </c>
      <c r="S207" s="23">
        <v>1059.33</v>
      </c>
      <c r="T207" s="23">
        <v>1059.33</v>
      </c>
      <c r="U207" s="23">
        <v>1059.33</v>
      </c>
      <c r="V207" s="7" t="s">
        <v>645</v>
      </c>
      <c r="W207" s="82">
        <f t="shared" si="40"/>
        <v>0</v>
      </c>
      <c r="Y207" s="4"/>
      <c r="Z207" s="4"/>
      <c r="AA207" s="82"/>
      <c r="AB207" s="82"/>
      <c r="AC207" s="82"/>
      <c r="AD207" s="23"/>
      <c r="AE207" s="7" t="s">
        <v>426</v>
      </c>
      <c r="AH207" s="23">
        <f>SUM('2021 Detail'!J201:U201)+SUM('2021 Detail'!AA201)</f>
        <v>12712</v>
      </c>
      <c r="AJ207" s="23">
        <f t="shared" si="33"/>
        <v>0</v>
      </c>
      <c r="AL207" t="str">
        <f t="shared" si="41"/>
        <v>Same</v>
      </c>
      <c r="AQ207" s="23">
        <v>1059.33</v>
      </c>
    </row>
    <row r="208" spans="1:44" x14ac:dyDescent="0.2">
      <c r="A208" s="226" t="s">
        <v>166</v>
      </c>
      <c r="B208" s="9" t="s">
        <v>495</v>
      </c>
      <c r="C208" s="9" t="s">
        <v>495</v>
      </c>
      <c r="D208" s="9" t="s">
        <v>495</v>
      </c>
      <c r="E208" s="9"/>
      <c r="F208" s="9" t="s">
        <v>495</v>
      </c>
      <c r="G208" s="83">
        <v>26870</v>
      </c>
      <c r="H208" s="83">
        <f t="shared" si="38"/>
        <v>20000</v>
      </c>
      <c r="I208" s="133">
        <f t="shared" si="39"/>
        <v>0.74429999999999996</v>
      </c>
      <c r="J208" s="82">
        <v>1000</v>
      </c>
      <c r="K208" s="82">
        <v>1000</v>
      </c>
      <c r="L208" s="82">
        <v>1000</v>
      </c>
      <c r="M208" s="82">
        <v>1000</v>
      </c>
      <c r="N208" s="82">
        <v>1000</v>
      </c>
      <c r="O208" s="82">
        <v>1000</v>
      </c>
      <c r="P208" s="82">
        <v>1000</v>
      </c>
      <c r="Q208" s="82">
        <v>1000</v>
      </c>
      <c r="R208" s="82">
        <v>1000</v>
      </c>
      <c r="S208" s="23">
        <v>4000</v>
      </c>
      <c r="T208" s="23">
        <v>1000</v>
      </c>
      <c r="U208" s="23">
        <v>1000</v>
      </c>
      <c r="V208" s="7" t="s">
        <v>646</v>
      </c>
      <c r="W208" s="82">
        <f t="shared" si="40"/>
        <v>6870</v>
      </c>
      <c r="Y208" s="4"/>
      <c r="Z208" s="4"/>
      <c r="AA208" s="82">
        <v>5000</v>
      </c>
      <c r="AB208" s="82"/>
      <c r="AC208" s="82"/>
      <c r="AD208" s="23"/>
      <c r="AE208" s="7" t="s">
        <v>427</v>
      </c>
      <c r="AH208" s="23">
        <f>SUM('2021 Detail'!J202:U202)+SUM('2021 Detail'!AA202)</f>
        <v>26870</v>
      </c>
      <c r="AJ208" s="23">
        <f t="shared" si="33"/>
        <v>-6870</v>
      </c>
      <c r="AL208" t="str">
        <f t="shared" si="41"/>
        <v>Down</v>
      </c>
      <c r="AQ208" s="23">
        <v>11000</v>
      </c>
    </row>
    <row r="209" spans="1:43" x14ac:dyDescent="0.2">
      <c r="A209" s="226" t="s">
        <v>167</v>
      </c>
      <c r="B209" s="9" t="s">
        <v>495</v>
      </c>
      <c r="C209" s="9" t="s">
        <v>495</v>
      </c>
      <c r="D209" s="9">
        <v>0</v>
      </c>
      <c r="E209" s="9"/>
      <c r="F209" s="9" t="s">
        <v>495</v>
      </c>
      <c r="G209" s="83">
        <v>10797</v>
      </c>
      <c r="H209" s="83">
        <f t="shared" si="38"/>
        <v>10797</v>
      </c>
      <c r="I209" s="133">
        <f t="shared" si="39"/>
        <v>1</v>
      </c>
      <c r="J209" s="82">
        <v>899.75</v>
      </c>
      <c r="K209" s="82">
        <v>899.75</v>
      </c>
      <c r="L209" s="82">
        <v>899.75</v>
      </c>
      <c r="M209" s="82">
        <v>899.75</v>
      </c>
      <c r="N209" s="82">
        <v>899.75</v>
      </c>
      <c r="O209" s="82">
        <v>899.75</v>
      </c>
      <c r="P209" s="82">
        <v>899.75</v>
      </c>
      <c r="Q209" s="82">
        <v>899.75</v>
      </c>
      <c r="R209" s="82">
        <v>899.75</v>
      </c>
      <c r="S209" s="23">
        <v>899.75</v>
      </c>
      <c r="T209" s="23">
        <v>899.75</v>
      </c>
      <c r="U209" s="23">
        <v>899.75</v>
      </c>
      <c r="V209" s="7" t="s">
        <v>647</v>
      </c>
      <c r="W209" s="82">
        <f t="shared" si="40"/>
        <v>0</v>
      </c>
      <c r="Y209" s="4"/>
      <c r="Z209" s="4"/>
      <c r="AA209" s="82"/>
      <c r="AB209" s="82"/>
      <c r="AC209" s="82"/>
      <c r="AD209" s="23"/>
      <c r="AE209" s="7" t="s">
        <v>427</v>
      </c>
      <c r="AH209" s="23">
        <f>SUM('2021 Detail'!J203:U203)+SUM('2021 Detail'!AA203)</f>
        <v>10796.999999999996</v>
      </c>
      <c r="AJ209" s="23">
        <f t="shared" si="33"/>
        <v>0</v>
      </c>
      <c r="AL209" t="str">
        <f t="shared" si="41"/>
        <v>Same</v>
      </c>
      <c r="AQ209" s="23">
        <v>899.56</v>
      </c>
    </row>
    <row r="210" spans="1:43" x14ac:dyDescent="0.2">
      <c r="A210" s="226" t="s">
        <v>168</v>
      </c>
      <c r="B210" s="9">
        <v>0</v>
      </c>
      <c r="C210" s="9" t="s">
        <v>495</v>
      </c>
      <c r="D210" s="9" t="s">
        <v>495</v>
      </c>
      <c r="E210" s="9"/>
      <c r="F210" s="9">
        <v>0</v>
      </c>
      <c r="G210" s="83">
        <v>2338</v>
      </c>
      <c r="H210" s="83">
        <f t="shared" si="38"/>
        <v>2338</v>
      </c>
      <c r="I210" s="133">
        <f t="shared" si="39"/>
        <v>1</v>
      </c>
      <c r="J210" s="82"/>
      <c r="K210" s="82">
        <v>212.6</v>
      </c>
      <c r="L210" s="82">
        <v>212.54</v>
      </c>
      <c r="M210" s="82">
        <v>212.54</v>
      </c>
      <c r="N210" s="82">
        <v>212.54</v>
      </c>
      <c r="O210" s="82">
        <v>212.54</v>
      </c>
      <c r="P210" s="82">
        <v>212.54</v>
      </c>
      <c r="Q210" s="82">
        <v>212.54</v>
      </c>
      <c r="R210" s="82">
        <v>212.54</v>
      </c>
      <c r="S210" s="23">
        <v>212.54</v>
      </c>
      <c r="T210" s="23">
        <v>212.54</v>
      </c>
      <c r="U210" s="23">
        <v>212.54</v>
      </c>
      <c r="V210" s="7" t="s">
        <v>648</v>
      </c>
      <c r="W210" s="82">
        <f t="shared" si="40"/>
        <v>0</v>
      </c>
      <c r="Y210" s="4"/>
      <c r="Z210" s="4"/>
      <c r="AA210" s="82"/>
      <c r="AB210" s="82"/>
      <c r="AC210" s="82"/>
      <c r="AD210" s="23"/>
      <c r="AE210" s="7" t="s">
        <v>427</v>
      </c>
      <c r="AH210" s="23">
        <f>SUM('2021 Detail'!J204:U204)+SUM('2021 Detail'!AA204)</f>
        <v>2338</v>
      </c>
      <c r="AJ210" s="23">
        <f t="shared" si="33"/>
        <v>0</v>
      </c>
      <c r="AL210" t="str">
        <f t="shared" si="41"/>
        <v>Same</v>
      </c>
      <c r="AQ210" s="23">
        <v>233.8</v>
      </c>
    </row>
    <row r="211" spans="1:43" x14ac:dyDescent="0.2">
      <c r="A211" s="226" t="s">
        <v>169</v>
      </c>
      <c r="B211" s="9" t="s">
        <v>495</v>
      </c>
      <c r="C211" s="9" t="s">
        <v>495</v>
      </c>
      <c r="D211" s="9" t="s">
        <v>495</v>
      </c>
      <c r="E211" s="9"/>
      <c r="F211" s="9">
        <v>0</v>
      </c>
      <c r="G211" s="83">
        <v>20818</v>
      </c>
      <c r="H211" s="83">
        <f t="shared" si="38"/>
        <v>20818</v>
      </c>
      <c r="I211" s="133">
        <f t="shared" si="39"/>
        <v>1</v>
      </c>
      <c r="J211" s="82"/>
      <c r="K211" s="82"/>
      <c r="L211" s="82">
        <v>3470</v>
      </c>
      <c r="M211" s="82"/>
      <c r="N211" s="82">
        <v>1735</v>
      </c>
      <c r="O211" s="82">
        <v>1735</v>
      </c>
      <c r="P211" s="82">
        <v>3470</v>
      </c>
      <c r="Q211" s="82"/>
      <c r="R211" s="82">
        <v>3470</v>
      </c>
      <c r="S211" s="23"/>
      <c r="T211" s="23">
        <v>3470</v>
      </c>
      <c r="U211" s="23">
        <v>3468</v>
      </c>
      <c r="V211" s="7" t="s">
        <v>649</v>
      </c>
      <c r="W211" s="82">
        <f t="shared" si="40"/>
        <v>0</v>
      </c>
      <c r="Y211" s="4"/>
      <c r="Z211" s="4"/>
      <c r="AA211" s="82"/>
      <c r="AB211" s="82"/>
      <c r="AC211" s="82"/>
      <c r="AD211" s="23"/>
      <c r="AE211" s="7" t="s">
        <v>424</v>
      </c>
      <c r="AH211" s="23">
        <f>SUM('2021 Detail'!J205:U205)+SUM('2021 Detail'!AA205)</f>
        <v>16200</v>
      </c>
      <c r="AJ211" s="23">
        <f t="shared" si="33"/>
        <v>4618</v>
      </c>
      <c r="AL211" t="str">
        <f t="shared" si="41"/>
        <v>Up</v>
      </c>
      <c r="AQ211" s="23">
        <v>3600</v>
      </c>
    </row>
    <row r="212" spans="1:43" x14ac:dyDescent="0.2">
      <c r="A212" s="226" t="s">
        <v>170</v>
      </c>
      <c r="B212" s="9" t="s">
        <v>495</v>
      </c>
      <c r="C212" s="9" t="s">
        <v>495</v>
      </c>
      <c r="D212" s="9" t="s">
        <v>495</v>
      </c>
      <c r="E212" s="9"/>
      <c r="F212" s="9" t="s">
        <v>495</v>
      </c>
      <c r="G212" s="83">
        <v>3509</v>
      </c>
      <c r="H212" s="83">
        <f t="shared" si="38"/>
        <v>3508.9999999999991</v>
      </c>
      <c r="I212" s="133">
        <f t="shared" si="39"/>
        <v>1</v>
      </c>
      <c r="J212" s="82">
        <v>104.37</v>
      </c>
      <c r="K212" s="82">
        <v>104.33</v>
      </c>
      <c r="L212" s="82">
        <v>330.03</v>
      </c>
      <c r="M212" s="82">
        <v>330.03</v>
      </c>
      <c r="N212" s="82">
        <v>330.03</v>
      </c>
      <c r="O212" s="82">
        <v>330.03</v>
      </c>
      <c r="P212" s="82">
        <v>330.03</v>
      </c>
      <c r="Q212" s="82">
        <v>330.03</v>
      </c>
      <c r="R212" s="82">
        <v>330.03</v>
      </c>
      <c r="S212" s="23">
        <v>330.03</v>
      </c>
      <c r="T212" s="23">
        <v>330.03</v>
      </c>
      <c r="U212" s="23">
        <v>330.03</v>
      </c>
      <c r="V212" s="7" t="s">
        <v>650</v>
      </c>
      <c r="W212" s="82">
        <f t="shared" si="40"/>
        <v>0</v>
      </c>
      <c r="Y212" s="4"/>
      <c r="Z212" s="4"/>
      <c r="AA212" s="82"/>
      <c r="AB212" s="82"/>
      <c r="AC212" s="82"/>
      <c r="AD212" s="23"/>
      <c r="AE212" s="7" t="s">
        <v>424</v>
      </c>
      <c r="AH212" s="23">
        <f>SUM('2021 Detail'!J206:U206)+SUM('2021 Detail'!AA206)</f>
        <v>1252</v>
      </c>
      <c r="AJ212" s="23">
        <f t="shared" si="33"/>
        <v>2256.9999999999991</v>
      </c>
      <c r="AL212" t="str">
        <f t="shared" si="41"/>
        <v>Up</v>
      </c>
      <c r="AQ212" s="23">
        <v>104.33</v>
      </c>
    </row>
    <row r="213" spans="1:43" x14ac:dyDescent="0.2">
      <c r="A213" s="226" t="s">
        <v>171</v>
      </c>
      <c r="B213" s="9" t="s">
        <v>495</v>
      </c>
      <c r="C213" s="9">
        <v>0</v>
      </c>
      <c r="D213" s="9" t="s">
        <v>495</v>
      </c>
      <c r="E213" s="9"/>
      <c r="F213" s="9">
        <v>0</v>
      </c>
      <c r="G213" s="83">
        <v>6090</v>
      </c>
      <c r="H213" s="83">
        <f t="shared" si="38"/>
        <v>6090</v>
      </c>
      <c r="I213" s="133">
        <f t="shared" si="39"/>
        <v>1</v>
      </c>
      <c r="J213" s="82">
        <v>507.5</v>
      </c>
      <c r="K213" s="82">
        <v>507.5</v>
      </c>
      <c r="L213" s="82">
        <v>507.5</v>
      </c>
      <c r="M213" s="82">
        <v>507.5</v>
      </c>
      <c r="N213" s="82">
        <v>507.5</v>
      </c>
      <c r="O213" s="82">
        <v>507.5</v>
      </c>
      <c r="P213" s="82">
        <v>507.5</v>
      </c>
      <c r="Q213" s="82">
        <v>507.5</v>
      </c>
      <c r="R213" s="82">
        <v>507.5</v>
      </c>
      <c r="S213" s="23">
        <v>507.5</v>
      </c>
      <c r="T213" s="23">
        <v>507.5</v>
      </c>
      <c r="U213" s="23">
        <v>507.5</v>
      </c>
      <c r="V213" s="7" t="s">
        <v>651</v>
      </c>
      <c r="W213" s="82">
        <f t="shared" si="40"/>
        <v>0</v>
      </c>
      <c r="Y213" s="4"/>
      <c r="Z213" s="4"/>
      <c r="AA213" s="82"/>
      <c r="AB213" s="82"/>
      <c r="AC213" s="82"/>
      <c r="AD213" s="23"/>
      <c r="AE213" s="7" t="s">
        <v>421</v>
      </c>
      <c r="AH213" s="23">
        <f>SUM('2021 Detail'!J207:U207)+SUM('2021 Detail'!AA207)</f>
        <v>5865.9999999999991</v>
      </c>
      <c r="AJ213" s="23">
        <f t="shared" si="33"/>
        <v>224.00000000000091</v>
      </c>
      <c r="AL213" t="str">
        <f t="shared" si="41"/>
        <v>Up</v>
      </c>
      <c r="AQ213" s="23">
        <v>146.16</v>
      </c>
    </row>
    <row r="214" spans="1:43" x14ac:dyDescent="0.2">
      <c r="A214" s="226" t="s">
        <v>172</v>
      </c>
      <c r="B214" s="9" t="s">
        <v>495</v>
      </c>
      <c r="C214" s="9" t="s">
        <v>495</v>
      </c>
      <c r="D214" s="9" t="s">
        <v>495</v>
      </c>
      <c r="E214" s="9"/>
      <c r="F214" s="9" t="s">
        <v>495</v>
      </c>
      <c r="G214" s="83">
        <v>3628</v>
      </c>
      <c r="H214" s="83">
        <f t="shared" si="38"/>
        <v>3627.9999999999995</v>
      </c>
      <c r="I214" s="133">
        <f t="shared" si="39"/>
        <v>1</v>
      </c>
      <c r="J214" s="82">
        <v>302.37</v>
      </c>
      <c r="K214" s="82">
        <v>302.33</v>
      </c>
      <c r="L214" s="82">
        <v>302.33</v>
      </c>
      <c r="M214" s="82">
        <v>302.33</v>
      </c>
      <c r="N214" s="82">
        <v>302.33</v>
      </c>
      <c r="O214" s="82">
        <v>302.33</v>
      </c>
      <c r="P214" s="82">
        <v>302.33</v>
      </c>
      <c r="Q214" s="82">
        <v>302.33</v>
      </c>
      <c r="R214" s="82">
        <v>302.33</v>
      </c>
      <c r="S214" s="23">
        <v>302.33</v>
      </c>
      <c r="T214" s="23">
        <v>302.33</v>
      </c>
      <c r="U214" s="23">
        <v>302.33</v>
      </c>
      <c r="V214" s="7" t="s">
        <v>652</v>
      </c>
      <c r="W214" s="82">
        <f t="shared" si="40"/>
        <v>0</v>
      </c>
      <c r="Y214" s="4"/>
      <c r="Z214" s="4"/>
      <c r="AA214" s="82"/>
      <c r="AB214" s="82"/>
      <c r="AC214" s="82"/>
      <c r="AD214" s="23"/>
      <c r="AE214" s="7" t="s">
        <v>421</v>
      </c>
      <c r="AH214" s="23">
        <f>SUM('2021 Detail'!J208:U208)+SUM('2021 Detail'!AA208)</f>
        <v>3627</v>
      </c>
      <c r="AJ214" s="23">
        <f t="shared" si="33"/>
        <v>0.99999999999954525</v>
      </c>
      <c r="AL214" t="str">
        <f t="shared" si="41"/>
        <v>Up</v>
      </c>
      <c r="AQ214" s="23">
        <v>302.25</v>
      </c>
    </row>
    <row r="215" spans="1:43" x14ac:dyDescent="0.2">
      <c r="A215" s="226" t="s">
        <v>173</v>
      </c>
      <c r="B215" s="9" t="s">
        <v>495</v>
      </c>
      <c r="C215" s="9">
        <v>0</v>
      </c>
      <c r="D215" s="9">
        <v>0</v>
      </c>
      <c r="E215" s="9"/>
      <c r="F215" s="9">
        <v>0</v>
      </c>
      <c r="G215" s="83">
        <v>4120</v>
      </c>
      <c r="H215" s="83">
        <f t="shared" si="38"/>
        <v>2884</v>
      </c>
      <c r="I215" s="133">
        <f t="shared" si="39"/>
        <v>0.7</v>
      </c>
      <c r="J215" s="82"/>
      <c r="K215" s="82"/>
      <c r="L215" s="82">
        <v>857</v>
      </c>
      <c r="M215" s="82"/>
      <c r="N215" s="82"/>
      <c r="O215" s="82">
        <v>475</v>
      </c>
      <c r="P215" s="82"/>
      <c r="Q215" s="82"/>
      <c r="R215" s="82">
        <v>578</v>
      </c>
      <c r="S215" s="23"/>
      <c r="T215" s="23"/>
      <c r="U215" s="23">
        <v>974</v>
      </c>
      <c r="V215" s="7" t="s">
        <v>653</v>
      </c>
      <c r="W215" s="82">
        <f t="shared" si="40"/>
        <v>1236</v>
      </c>
      <c r="Y215" s="4"/>
      <c r="Z215" s="4"/>
      <c r="AA215" s="82"/>
      <c r="AB215" s="82"/>
      <c r="AC215" s="82"/>
      <c r="AD215" s="23"/>
      <c r="AE215" s="7" t="s">
        <v>421</v>
      </c>
      <c r="AH215" s="23">
        <f>SUM('2021 Detail'!J209:U209)+SUM('2021 Detail'!AA209)</f>
        <v>1858.3600000000001</v>
      </c>
      <c r="AJ215" s="23">
        <f t="shared" si="33"/>
        <v>1025.6399999999999</v>
      </c>
      <c r="AL215" t="str">
        <f t="shared" si="41"/>
        <v>Up</v>
      </c>
      <c r="AQ215" s="23">
        <v>829.36</v>
      </c>
    </row>
    <row r="216" spans="1:43" x14ac:dyDescent="0.2">
      <c r="A216" s="226" t="s">
        <v>174</v>
      </c>
      <c r="B216" s="9" t="s">
        <v>495</v>
      </c>
      <c r="C216" s="9" t="s">
        <v>495</v>
      </c>
      <c r="D216" s="9" t="s">
        <v>495</v>
      </c>
      <c r="E216" s="9"/>
      <c r="F216" s="9">
        <v>0</v>
      </c>
      <c r="G216" s="83">
        <v>6139</v>
      </c>
      <c r="H216" s="83">
        <f t="shared" si="38"/>
        <v>6139</v>
      </c>
      <c r="I216" s="133">
        <f t="shared" si="39"/>
        <v>1</v>
      </c>
      <c r="J216" s="82"/>
      <c r="K216" s="82"/>
      <c r="L216" s="82">
        <v>1000</v>
      </c>
      <c r="M216" s="82"/>
      <c r="N216" s="82">
        <v>135.25</v>
      </c>
      <c r="O216" s="82">
        <v>4000</v>
      </c>
      <c r="P216" s="82"/>
      <c r="Q216" s="82"/>
      <c r="R216" s="82"/>
      <c r="S216" s="23"/>
      <c r="T216" s="23"/>
      <c r="U216" s="23">
        <v>1003.75</v>
      </c>
      <c r="V216" s="7" t="s">
        <v>654</v>
      </c>
      <c r="W216" s="82">
        <f t="shared" si="40"/>
        <v>0</v>
      </c>
      <c r="Y216" s="4"/>
      <c r="Z216" s="4"/>
      <c r="AA216" s="82"/>
      <c r="AB216" s="82"/>
      <c r="AC216" s="82"/>
      <c r="AD216" s="23"/>
      <c r="AE216" s="7" t="s">
        <v>423</v>
      </c>
      <c r="AH216" s="23">
        <f>SUM('2021 Detail'!J210:U210)+SUM('2021 Detail'!AA210)</f>
        <v>6139.25</v>
      </c>
      <c r="AJ216" s="23">
        <f t="shared" si="33"/>
        <v>-0.25</v>
      </c>
      <c r="AL216" t="str">
        <f t="shared" si="41"/>
        <v>Down</v>
      </c>
      <c r="AQ216" s="23">
        <v>1004</v>
      </c>
    </row>
    <row r="217" spans="1:43" x14ac:dyDescent="0.2">
      <c r="G217" s="83"/>
      <c r="H217" s="83"/>
      <c r="I217" s="133"/>
      <c r="Y217" s="4"/>
      <c r="Z217" s="4"/>
      <c r="AA217" s="82"/>
      <c r="AB217" s="82"/>
      <c r="AC217" s="82"/>
      <c r="AD217" s="23"/>
      <c r="AJ217" s="23"/>
    </row>
    <row r="218" spans="1:43" x14ac:dyDescent="0.2">
      <c r="A218" s="226" t="s">
        <v>1142</v>
      </c>
      <c r="G218" s="83">
        <f>SUM(G174:G217)</f>
        <v>591370</v>
      </c>
      <c r="H218" s="83">
        <f>SUM(H174:H217)</f>
        <v>451201.56999999995</v>
      </c>
      <c r="I218" s="133">
        <f t="shared" ref="I218:I219" si="42">ROUND((H218/G218),4)</f>
        <v>0.76300000000000001</v>
      </c>
      <c r="J218" s="83">
        <f t="shared" ref="J218:U218" si="43">SUM(J174:J217)</f>
        <v>20020.819999999996</v>
      </c>
      <c r="K218" s="83">
        <f t="shared" si="43"/>
        <v>24155.919999999998</v>
      </c>
      <c r="L218" s="83">
        <f t="shared" si="43"/>
        <v>46215.85</v>
      </c>
      <c r="M218" s="83">
        <f t="shared" si="43"/>
        <v>23287.1</v>
      </c>
      <c r="N218" s="83">
        <f t="shared" si="43"/>
        <v>31702.32</v>
      </c>
      <c r="O218" s="83">
        <f t="shared" si="43"/>
        <v>42791.41</v>
      </c>
      <c r="P218" s="83">
        <f t="shared" si="43"/>
        <v>26372.32</v>
      </c>
      <c r="Q218" s="83">
        <f t="shared" si="43"/>
        <v>27097.32</v>
      </c>
      <c r="R218" s="83">
        <f t="shared" si="43"/>
        <v>35587.9</v>
      </c>
      <c r="S218" s="4">
        <f t="shared" si="43"/>
        <v>28597.32</v>
      </c>
      <c r="T218" s="4">
        <f t="shared" si="43"/>
        <v>70515.319999999992</v>
      </c>
      <c r="U218" s="4">
        <f t="shared" si="43"/>
        <v>64888.470000000008</v>
      </c>
      <c r="V218" s="77"/>
      <c r="W218" s="82">
        <f>SUM(W174:W217)</f>
        <v>140168.43</v>
      </c>
      <c r="Y218" s="4"/>
      <c r="Z218" s="4"/>
      <c r="AA218" s="83">
        <f>SUM(AA174:AA217)</f>
        <v>9969.5</v>
      </c>
      <c r="AB218" s="83">
        <f>SUM(AB174:AB217)</f>
        <v>0</v>
      </c>
      <c r="AC218" s="83">
        <f>SUM(AC174:AC217)</f>
        <v>0</v>
      </c>
      <c r="AD218" s="4"/>
      <c r="AH218" s="23">
        <f>SUM(AH174:AH217)</f>
        <v>447029.13</v>
      </c>
      <c r="AJ218" s="23">
        <f t="shared" si="33"/>
        <v>4172.4399999999441</v>
      </c>
      <c r="AM218" s="11">
        <f>SUM(J218:R218)+SUM(S219:U219)+SUM('2020 detail'!AA211:AC211)</f>
        <v>423025.86000000004</v>
      </c>
      <c r="AN218" s="24">
        <f>ROUND((AM218/G218),4)</f>
        <v>0.71530000000000005</v>
      </c>
      <c r="AO218" s="24">
        <f>ROUND((SUM(J219:U219)/G219),4)</f>
        <v>0.73540000000000005</v>
      </c>
      <c r="AQ218" s="23">
        <f>SUM(AQ174:AQ217)</f>
        <v>78415.680000000008</v>
      </c>
    </row>
    <row r="219" spans="1:43" x14ac:dyDescent="0.2">
      <c r="A219" s="253" t="s">
        <v>1056</v>
      </c>
      <c r="G219" s="206">
        <f>'2021 Detail'!G212</f>
        <v>591261</v>
      </c>
      <c r="H219" s="206">
        <f>SUM(J219:U219)+SUM(AA219:AC219)</f>
        <v>447029.13000000006</v>
      </c>
      <c r="I219" s="207">
        <f t="shared" si="42"/>
        <v>0.75609999999999999</v>
      </c>
      <c r="J219" s="206">
        <f>'2021 Detail'!J212</f>
        <v>19926.689999999999</v>
      </c>
      <c r="K219" s="206">
        <f>'2021 Detail'!K212</f>
        <v>25197.93</v>
      </c>
      <c r="L219" s="206">
        <f>'2021 Detail'!L212</f>
        <v>44008.73000000001</v>
      </c>
      <c r="M219" s="206">
        <f>'2021 Detail'!M212</f>
        <v>27417.73</v>
      </c>
      <c r="N219" s="206">
        <f>'2021 Detail'!N212</f>
        <v>24046.73</v>
      </c>
      <c r="O219" s="206">
        <f>'2021 Detail'!O212</f>
        <v>42528.73000000001</v>
      </c>
      <c r="P219" s="206">
        <f>'2021 Detail'!P212</f>
        <v>29585.73</v>
      </c>
      <c r="Q219" s="206">
        <f>'2021 Detail'!Q212</f>
        <v>37194.230000000003</v>
      </c>
      <c r="R219" s="206">
        <f>'2021 Detail'!R212</f>
        <v>39131.73000000001</v>
      </c>
      <c r="S219" s="206">
        <f>'2021 Detail'!S212</f>
        <v>34511.570000000007</v>
      </c>
      <c r="T219" s="206">
        <f>'2021 Detail'!T212</f>
        <v>32867.650000000009</v>
      </c>
      <c r="U219" s="206">
        <f>'2021 Detail'!U212</f>
        <v>78415.680000000008</v>
      </c>
      <c r="V219" s="206"/>
      <c r="W219" s="206"/>
      <c r="X219" s="206"/>
      <c r="Y219" s="4"/>
      <c r="Z219" s="4"/>
      <c r="AA219" s="206">
        <f>'2021 Detail'!AA212</f>
        <v>12196</v>
      </c>
      <c r="AB219" s="206">
        <f>'2021 Detail'!AB212</f>
        <v>0</v>
      </c>
      <c r="AC219" s="206">
        <f>'2021 Detail'!AC212</f>
        <v>0</v>
      </c>
      <c r="AJ219" s="23"/>
    </row>
    <row r="220" spans="1:43" x14ac:dyDescent="0.2">
      <c r="J220" s="83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Y220" s="4"/>
      <c r="Z220" s="4"/>
      <c r="AJ220" s="23"/>
    </row>
    <row r="221" spans="1:43" x14ac:dyDescent="0.2">
      <c r="A221" s="226" t="str">
        <f t="shared" ref="A221:U221" si="44">A$510</f>
        <v>Diocesan Total 2022</v>
      </c>
      <c r="B221" s="226">
        <f t="shared" si="44"/>
        <v>0</v>
      </c>
      <c r="C221" s="226">
        <f t="shared" si="44"/>
        <v>0</v>
      </c>
      <c r="D221" s="258">
        <f t="shared" si="44"/>
        <v>0</v>
      </c>
      <c r="E221" s="226">
        <f t="shared" si="44"/>
        <v>0</v>
      </c>
      <c r="F221" s="226">
        <f t="shared" si="44"/>
        <v>0</v>
      </c>
      <c r="G221" s="83">
        <f t="shared" si="44"/>
        <v>8116012</v>
      </c>
      <c r="H221" s="83">
        <f t="shared" si="44"/>
        <v>6559332.3399999999</v>
      </c>
      <c r="I221" s="133">
        <f t="shared" si="44"/>
        <v>0.80820000000000003</v>
      </c>
      <c r="J221" s="83">
        <f t="shared" si="44"/>
        <v>378351.23</v>
      </c>
      <c r="K221" s="83">
        <f t="shared" si="44"/>
        <v>449442.02</v>
      </c>
      <c r="L221" s="83">
        <f t="shared" si="44"/>
        <v>517036.34</v>
      </c>
      <c r="M221" s="83">
        <f t="shared" si="44"/>
        <v>434875.54000000004</v>
      </c>
      <c r="N221" s="83">
        <f t="shared" si="44"/>
        <v>497786.23</v>
      </c>
      <c r="O221" s="83">
        <f t="shared" si="44"/>
        <v>599586.94000000006</v>
      </c>
      <c r="P221" s="83">
        <f t="shared" si="44"/>
        <v>498701.35</v>
      </c>
      <c r="Q221" s="83">
        <f t="shared" si="44"/>
        <v>538018.41999999993</v>
      </c>
      <c r="R221" s="83">
        <f t="shared" si="44"/>
        <v>551902.79</v>
      </c>
      <c r="S221" s="4">
        <f t="shared" si="44"/>
        <v>564217.18000000005</v>
      </c>
      <c r="T221" s="4">
        <f t="shared" si="44"/>
        <v>646111.05000000005</v>
      </c>
      <c r="U221" s="4">
        <f t="shared" si="44"/>
        <v>737258.44</v>
      </c>
      <c r="V221" s="77"/>
      <c r="W221" s="82"/>
      <c r="X221" s="4"/>
      <c r="Y221" s="4"/>
      <c r="Z221" s="4"/>
      <c r="AA221" s="83"/>
      <c r="AB221" s="83"/>
      <c r="AC221" s="83"/>
      <c r="AD221" s="4"/>
      <c r="AH221" s="23">
        <f>AH$510</f>
        <v>6554125.29</v>
      </c>
      <c r="AJ221" s="23">
        <f>AJ$510</f>
        <v>5207.0499999998137</v>
      </c>
    </row>
    <row r="222" spans="1:43" x14ac:dyDescent="0.2">
      <c r="A222" s="253" t="str">
        <f t="shared" ref="A222:U222" si="45">A$511</f>
        <v>Diocesan Total 2021</v>
      </c>
      <c r="B222" s="253">
        <f t="shared" si="45"/>
        <v>0</v>
      </c>
      <c r="C222" s="253">
        <f t="shared" si="45"/>
        <v>0</v>
      </c>
      <c r="D222" s="259">
        <f t="shared" si="45"/>
        <v>0</v>
      </c>
      <c r="E222" s="253">
        <f t="shared" si="45"/>
        <v>0</v>
      </c>
      <c r="F222" s="253">
        <f t="shared" si="45"/>
        <v>0</v>
      </c>
      <c r="G222" s="206">
        <f t="shared" si="45"/>
        <v>8132853</v>
      </c>
      <c r="H222" s="206">
        <f t="shared" si="45"/>
        <v>6587993.7700000005</v>
      </c>
      <c r="I222" s="207">
        <f t="shared" si="45"/>
        <v>0.81</v>
      </c>
      <c r="J222" s="206">
        <f t="shared" si="45"/>
        <v>340336.86</v>
      </c>
      <c r="K222" s="206">
        <f t="shared" si="45"/>
        <v>407387.73</v>
      </c>
      <c r="L222" s="206">
        <f t="shared" si="45"/>
        <v>497955.59</v>
      </c>
      <c r="M222" s="206">
        <f t="shared" si="45"/>
        <v>513800.89999999997</v>
      </c>
      <c r="N222" s="206">
        <f t="shared" si="45"/>
        <v>483760.16000000003</v>
      </c>
      <c r="O222" s="206">
        <f t="shared" si="45"/>
        <v>527451.71000000008</v>
      </c>
      <c r="P222" s="206">
        <f t="shared" si="45"/>
        <v>582882.6100000001</v>
      </c>
      <c r="Q222" s="206">
        <f t="shared" si="45"/>
        <v>489302.35</v>
      </c>
      <c r="R222" s="206">
        <f t="shared" si="45"/>
        <v>548459.72</v>
      </c>
      <c r="S222" s="206">
        <f t="shared" si="45"/>
        <v>527708.16999999993</v>
      </c>
      <c r="T222" s="206">
        <f t="shared" si="45"/>
        <v>616975.80999999994</v>
      </c>
      <c r="U222" s="206">
        <f t="shared" si="45"/>
        <v>907302.59</v>
      </c>
      <c r="V222" s="206"/>
      <c r="W222" s="206"/>
      <c r="X222" s="206"/>
      <c r="Y222" s="4"/>
      <c r="Z222" s="4"/>
      <c r="AA222" s="206"/>
      <c r="AB222" s="206"/>
      <c r="AC222" s="206"/>
      <c r="AJ222" s="23"/>
    </row>
    <row r="223" spans="1:43" ht="15.75" x14ac:dyDescent="0.25">
      <c r="G223" s="196" t="s">
        <v>11</v>
      </c>
      <c r="Y223" s="4"/>
      <c r="Z223" s="4"/>
      <c r="AH223" s="171" t="s">
        <v>1136</v>
      </c>
      <c r="AI223" s="172"/>
      <c r="AJ223" s="171" t="s">
        <v>1064</v>
      </c>
    </row>
    <row r="224" spans="1:43" x14ac:dyDescent="0.2">
      <c r="Y224" s="4"/>
      <c r="Z224" s="4"/>
      <c r="AH224" s="171" t="s">
        <v>1137</v>
      </c>
      <c r="AI224" s="172"/>
      <c r="AJ224" s="171" t="s">
        <v>1138</v>
      </c>
    </row>
    <row r="225" spans="1:45" ht="16.5" x14ac:dyDescent="0.25">
      <c r="A225" s="250"/>
      <c r="B225" s="8"/>
      <c r="C225" s="8"/>
      <c r="E225" s="8"/>
      <c r="F225" s="8"/>
      <c r="G225" s="208" t="str">
        <f>$G$3</f>
        <v>2022 PARISH SHARE INFORMATION AS AT 31 DECEMBER 2022</v>
      </c>
      <c r="H225" s="209"/>
      <c r="W225" s="194"/>
      <c r="X225"/>
      <c r="Y225" s="4"/>
      <c r="Z225" s="4"/>
      <c r="AA225"/>
      <c r="AB225"/>
      <c r="AC225"/>
      <c r="AH225" s="172"/>
      <c r="AI225" s="172"/>
      <c r="AJ225" s="171" t="s">
        <v>1139</v>
      </c>
    </row>
    <row r="226" spans="1:45" x14ac:dyDescent="0.2">
      <c r="A226" s="250"/>
      <c r="G226" s="205"/>
      <c r="H226" s="197"/>
      <c r="W226" s="194"/>
      <c r="X226"/>
      <c r="Y226" s="4"/>
      <c r="Z226" s="4"/>
      <c r="AA226"/>
      <c r="AB226"/>
      <c r="AC226"/>
    </row>
    <row r="227" spans="1:45" ht="16.5" x14ac:dyDescent="0.25">
      <c r="A227" s="251" t="s">
        <v>1</v>
      </c>
      <c r="B227" s="151" t="str">
        <f>$B$5</f>
        <v>RM</v>
      </c>
      <c r="C227" s="151" t="str">
        <f>$C$5</f>
        <v>RF</v>
      </c>
      <c r="D227" s="151" t="str">
        <f>$D$5</f>
        <v>Accts</v>
      </c>
      <c r="E227" s="151"/>
      <c r="F227" s="151" t="str">
        <f>$F$5</f>
        <v>Share DD</v>
      </c>
      <c r="G227" s="210" t="str">
        <f>$G$5</f>
        <v xml:space="preserve">2022 Share </v>
      </c>
      <c r="H227" s="211" t="str">
        <f>$H$5</f>
        <v xml:space="preserve">2022 Paid </v>
      </c>
      <c r="I227" s="211" t="str">
        <f>$I$5</f>
        <v xml:space="preserve">% Paid </v>
      </c>
      <c r="J227" s="212">
        <f>$J$5</f>
        <v>44592</v>
      </c>
      <c r="K227" s="212">
        <f>$K$5</f>
        <v>44620</v>
      </c>
      <c r="L227" s="212">
        <f>$L$5</f>
        <v>44651</v>
      </c>
      <c r="M227" s="212">
        <f>$M$5</f>
        <v>44681</v>
      </c>
      <c r="N227" s="212">
        <f>$N$5</f>
        <v>44712</v>
      </c>
      <c r="O227" s="212">
        <f>$O$5</f>
        <v>44742</v>
      </c>
      <c r="P227" s="212">
        <f>$P$5</f>
        <v>44773</v>
      </c>
      <c r="Q227" s="212">
        <f>$Q$5</f>
        <v>44804</v>
      </c>
      <c r="R227" s="212">
        <f>$R$5</f>
        <v>44834</v>
      </c>
      <c r="S227" s="155">
        <f>$S$5</f>
        <v>44865</v>
      </c>
      <c r="T227" s="155">
        <f>$T$5</f>
        <v>44895</v>
      </c>
      <c r="U227" s="155">
        <f>$U$5</f>
        <v>44926</v>
      </c>
      <c r="V227" s="78"/>
      <c r="W227" s="195" t="str">
        <f>$W$5</f>
        <v xml:space="preserve">Outstanding </v>
      </c>
      <c r="X227" s="2"/>
      <c r="Y227" s="4"/>
      <c r="Z227" s="4"/>
      <c r="AA227" s="2">
        <f>$AA$5</f>
        <v>44957</v>
      </c>
      <c r="AB227" s="2">
        <f>$AB$5</f>
        <v>44985</v>
      </c>
      <c r="AC227" s="2">
        <f>$AC$5</f>
        <v>45016</v>
      </c>
      <c r="AE227" s="152" t="str">
        <f>$AE$5</f>
        <v>Benefice</v>
      </c>
      <c r="AH227" s="16" t="s">
        <v>1141</v>
      </c>
      <c r="AJ227" s="170" t="s">
        <v>1140</v>
      </c>
      <c r="AQ227" s="222">
        <v>44575</v>
      </c>
    </row>
    <row r="228" spans="1:45" ht="16.5" x14ac:dyDescent="0.25">
      <c r="A228" s="250"/>
      <c r="G228" s="201" t="s">
        <v>1040</v>
      </c>
      <c r="H228" s="202" t="s">
        <v>1040</v>
      </c>
      <c r="I228" s="203"/>
      <c r="J228" s="202" t="s">
        <v>1040</v>
      </c>
      <c r="K228" s="202" t="s">
        <v>1040</v>
      </c>
      <c r="L228" s="202" t="s">
        <v>1040</v>
      </c>
      <c r="M228" s="202" t="s">
        <v>1040</v>
      </c>
      <c r="N228" s="202" t="s">
        <v>1040</v>
      </c>
      <c r="O228" s="202" t="s">
        <v>1040</v>
      </c>
      <c r="P228" s="202" t="s">
        <v>1040</v>
      </c>
      <c r="Q228" s="202" t="s">
        <v>1040</v>
      </c>
      <c r="R228" s="202" t="s">
        <v>1040</v>
      </c>
      <c r="S228" s="147" t="s">
        <v>1040</v>
      </c>
      <c r="T228" s="147" t="s">
        <v>1040</v>
      </c>
      <c r="U228" s="147" t="s">
        <v>1040</v>
      </c>
      <c r="W228" s="194"/>
      <c r="X228"/>
      <c r="Y228" s="4"/>
      <c r="Z228" s="4"/>
      <c r="AA228"/>
      <c r="AB228"/>
      <c r="AC228"/>
      <c r="AJ228" s="23"/>
    </row>
    <row r="229" spans="1:45" x14ac:dyDescent="0.2">
      <c r="Y229" s="4"/>
      <c r="Z229" s="4"/>
      <c r="AJ229" s="23"/>
    </row>
    <row r="230" spans="1:45" x14ac:dyDescent="0.2">
      <c r="A230" s="226" t="s">
        <v>175</v>
      </c>
      <c r="B230" s="9" t="s">
        <v>495</v>
      </c>
      <c r="C230" s="9" t="s">
        <v>495</v>
      </c>
      <c r="D230" s="9" t="s">
        <v>495</v>
      </c>
      <c r="E230" s="9"/>
      <c r="F230" s="9">
        <v>0</v>
      </c>
      <c r="G230" s="83">
        <v>22679</v>
      </c>
      <c r="H230" s="83">
        <f t="shared" ref="H230:H261" si="46">SUM(J230:U230)+SUM(AA230:AC230)</f>
        <v>16500</v>
      </c>
      <c r="I230" s="133">
        <f t="shared" ref="I230:I261" si="47">ROUND((H230/G230),4)</f>
        <v>0.72750000000000004</v>
      </c>
      <c r="J230" s="82">
        <v>1000</v>
      </c>
      <c r="K230" s="82">
        <v>1000</v>
      </c>
      <c r="L230" s="82">
        <v>1000</v>
      </c>
      <c r="M230" s="82">
        <v>1000</v>
      </c>
      <c r="N230" s="82">
        <v>1000</v>
      </c>
      <c r="O230" s="82">
        <v>1000</v>
      </c>
      <c r="P230" s="82">
        <v>1500</v>
      </c>
      <c r="Q230" s="82">
        <v>1000</v>
      </c>
      <c r="R230" s="82">
        <v>1000</v>
      </c>
      <c r="S230" s="23">
        <v>1500</v>
      </c>
      <c r="T230" s="23">
        <v>1000</v>
      </c>
      <c r="U230" s="23">
        <v>4500</v>
      </c>
      <c r="V230" s="7" t="s">
        <v>655</v>
      </c>
      <c r="W230" s="82">
        <f t="shared" ref="W230:W261" si="48">G230-H230</f>
        <v>6179</v>
      </c>
      <c r="Y230" s="4"/>
      <c r="Z230" s="4"/>
      <c r="AA230" s="82"/>
      <c r="AB230" s="82"/>
      <c r="AC230" s="82"/>
      <c r="AD230" s="23"/>
      <c r="AE230" s="7" t="s">
        <v>437</v>
      </c>
      <c r="AH230" s="23">
        <f>SUM('2021 Detail'!J222:U222)+SUM('2021 Detail'!AA222)</f>
        <v>13000</v>
      </c>
      <c r="AJ230" s="23">
        <f t="shared" ref="AJ230:AJ263" si="49">H230-AH230</f>
        <v>3500</v>
      </c>
      <c r="AL230" t="str">
        <f t="shared" ref="AL230:AL261" si="50">IF(AJ230&lt;0,"Down",IF(AJ230&gt;0,"Up","Same"))</f>
        <v>Up</v>
      </c>
      <c r="AQ230" s="23">
        <v>1500</v>
      </c>
    </row>
    <row r="231" spans="1:45" x14ac:dyDescent="0.2">
      <c r="A231" s="226" t="s">
        <v>176</v>
      </c>
      <c r="B231" s="9" t="s">
        <v>495</v>
      </c>
      <c r="C231" s="9" t="s">
        <v>495</v>
      </c>
      <c r="D231" s="9">
        <v>0</v>
      </c>
      <c r="E231" s="9"/>
      <c r="F231" s="9">
        <v>0</v>
      </c>
      <c r="G231" s="83">
        <v>4123</v>
      </c>
      <c r="H231" s="83">
        <f t="shared" si="46"/>
        <v>1000</v>
      </c>
      <c r="I231" s="133">
        <f t="shared" si="47"/>
        <v>0.24249999999999999</v>
      </c>
      <c r="J231" s="82"/>
      <c r="K231" s="82"/>
      <c r="L231" s="82"/>
      <c r="M231" s="82"/>
      <c r="N231" s="82"/>
      <c r="O231" s="82"/>
      <c r="P231" s="82"/>
      <c r="Q231" s="82"/>
      <c r="R231" s="82"/>
      <c r="S231" s="23"/>
      <c r="T231" s="23"/>
      <c r="U231" s="23">
        <v>1000</v>
      </c>
      <c r="V231" s="7" t="s">
        <v>656</v>
      </c>
      <c r="W231" s="82">
        <f t="shared" si="48"/>
        <v>3123</v>
      </c>
      <c r="Y231" s="4"/>
      <c r="Z231" s="4"/>
      <c r="AA231" s="82"/>
      <c r="AB231" s="82"/>
      <c r="AC231" s="82"/>
      <c r="AD231" s="23"/>
      <c r="AE231" s="7" t="s">
        <v>437</v>
      </c>
      <c r="AH231" s="23">
        <f>SUM('2021 Detail'!J223:U223)+SUM('2021 Detail'!AA223)</f>
        <v>1000</v>
      </c>
      <c r="AJ231" s="23">
        <f t="shared" si="49"/>
        <v>0</v>
      </c>
      <c r="AL231" t="str">
        <f t="shared" si="50"/>
        <v>Same</v>
      </c>
      <c r="AQ231" s="23">
        <v>688</v>
      </c>
    </row>
    <row r="232" spans="1:45" x14ac:dyDescent="0.2">
      <c r="A232" s="226" t="s">
        <v>177</v>
      </c>
      <c r="B232" s="9" t="s">
        <v>495</v>
      </c>
      <c r="C232" s="9" t="s">
        <v>495</v>
      </c>
      <c r="D232" s="9" t="s">
        <v>495</v>
      </c>
      <c r="E232" s="9"/>
      <c r="F232" s="9">
        <v>0</v>
      </c>
      <c r="G232" s="83">
        <v>69606</v>
      </c>
      <c r="H232" s="83">
        <f t="shared" si="46"/>
        <v>69606</v>
      </c>
      <c r="I232" s="133">
        <f t="shared" si="47"/>
        <v>1</v>
      </c>
      <c r="J232" s="82">
        <v>5800.5</v>
      </c>
      <c r="K232" s="82">
        <v>5800.5</v>
      </c>
      <c r="L232" s="82">
        <v>5800.5</v>
      </c>
      <c r="M232" s="82">
        <v>5800.5</v>
      </c>
      <c r="N232" s="82">
        <v>5800.5</v>
      </c>
      <c r="O232" s="82">
        <v>5800.5</v>
      </c>
      <c r="P232" s="82">
        <v>5800.5</v>
      </c>
      <c r="Q232" s="82">
        <v>5800.5</v>
      </c>
      <c r="R232" s="82">
        <v>5800.5</v>
      </c>
      <c r="S232" s="23">
        <v>5800.5</v>
      </c>
      <c r="T232" s="23">
        <v>5800.5</v>
      </c>
      <c r="U232" s="23">
        <v>5800.5</v>
      </c>
      <c r="V232" s="7" t="s">
        <v>657</v>
      </c>
      <c r="W232" s="82">
        <f t="shared" si="48"/>
        <v>0</v>
      </c>
      <c r="Y232" s="4"/>
      <c r="Z232" s="4"/>
      <c r="AA232" s="82"/>
      <c r="AB232" s="82"/>
      <c r="AC232" s="82"/>
      <c r="AD232" s="23"/>
      <c r="AE232" s="7" t="s">
        <v>428</v>
      </c>
      <c r="AH232" s="23">
        <f>SUM('2021 Detail'!J224:U224)+SUM('2021 Detail'!AA224)</f>
        <v>50000</v>
      </c>
      <c r="AJ232" s="23">
        <f t="shared" si="49"/>
        <v>19606</v>
      </c>
      <c r="AL232" t="str">
        <f t="shared" si="50"/>
        <v>Up</v>
      </c>
      <c r="AQ232" s="23">
        <v>6000</v>
      </c>
    </row>
    <row r="233" spans="1:45" x14ac:dyDescent="0.2">
      <c r="A233" s="226" t="s">
        <v>178</v>
      </c>
      <c r="B233" s="9" t="s">
        <v>495</v>
      </c>
      <c r="C233" s="9" t="s">
        <v>495</v>
      </c>
      <c r="D233" s="9">
        <v>0</v>
      </c>
      <c r="E233" s="9"/>
      <c r="F233" s="9" t="s">
        <v>495</v>
      </c>
      <c r="G233" s="83">
        <v>23397</v>
      </c>
      <c r="H233" s="83">
        <f t="shared" si="46"/>
        <v>18062</v>
      </c>
      <c r="I233" s="133">
        <f t="shared" si="47"/>
        <v>0.77200000000000002</v>
      </c>
      <c r="J233" s="82"/>
      <c r="K233" s="82"/>
      <c r="L233" s="82">
        <v>2500</v>
      </c>
      <c r="M233" s="82">
        <v>5000</v>
      </c>
      <c r="N233" s="82"/>
      <c r="O233" s="82">
        <v>2000</v>
      </c>
      <c r="P233" s="82"/>
      <c r="Q233" s="82">
        <v>4000</v>
      </c>
      <c r="R233" s="82"/>
      <c r="S233" s="23">
        <v>250</v>
      </c>
      <c r="T233" s="23">
        <v>2000</v>
      </c>
      <c r="U233" s="23">
        <v>2312</v>
      </c>
      <c r="V233" s="7" t="s">
        <v>658</v>
      </c>
      <c r="W233" s="82">
        <f t="shared" si="48"/>
        <v>5335</v>
      </c>
      <c r="Y233" s="4"/>
      <c r="Z233" s="4"/>
      <c r="AA233" s="82"/>
      <c r="AB233" s="82"/>
      <c r="AC233" s="82"/>
      <c r="AD233" s="23"/>
      <c r="AE233" s="7" t="s">
        <v>429</v>
      </c>
      <c r="AH233" s="23">
        <f>SUM('2021 Detail'!J225:U225)+SUM('2021 Detail'!AA225)</f>
        <v>23396.240000000002</v>
      </c>
      <c r="AJ233" s="23">
        <f t="shared" si="49"/>
        <v>-5334.2400000000016</v>
      </c>
      <c r="AL233" t="str">
        <f t="shared" si="50"/>
        <v>Down</v>
      </c>
      <c r="AQ233" s="23">
        <v>5849.22</v>
      </c>
    </row>
    <row r="234" spans="1:45" x14ac:dyDescent="0.2">
      <c r="A234" s="226" t="s">
        <v>179</v>
      </c>
      <c r="B234" s="9" t="s">
        <v>495</v>
      </c>
      <c r="C234" s="9" t="s">
        <v>495</v>
      </c>
      <c r="D234" s="9" t="s">
        <v>495</v>
      </c>
      <c r="E234" s="9"/>
      <c r="F234" s="9">
        <v>0</v>
      </c>
      <c r="G234" s="83">
        <v>23396</v>
      </c>
      <c r="H234" s="83">
        <f t="shared" si="46"/>
        <v>22483</v>
      </c>
      <c r="I234" s="133">
        <f t="shared" si="47"/>
        <v>0.96099999999999997</v>
      </c>
      <c r="J234" s="82"/>
      <c r="K234" s="82"/>
      <c r="L234" s="82">
        <v>4000</v>
      </c>
      <c r="M234" s="82">
        <v>4283</v>
      </c>
      <c r="N234" s="82"/>
      <c r="O234" s="82">
        <v>2000</v>
      </c>
      <c r="P234" s="82">
        <v>1200</v>
      </c>
      <c r="Q234" s="82">
        <v>1600</v>
      </c>
      <c r="R234" s="82">
        <v>3000</v>
      </c>
      <c r="S234" s="23">
        <v>2000</v>
      </c>
      <c r="T234" s="23">
        <v>1200</v>
      </c>
      <c r="U234" s="23">
        <v>3200</v>
      </c>
      <c r="V234" s="7" t="s">
        <v>659</v>
      </c>
      <c r="W234" s="82">
        <f t="shared" si="48"/>
        <v>913</v>
      </c>
      <c r="Y234" s="4"/>
      <c r="Z234" s="4"/>
      <c r="AA234" s="82"/>
      <c r="AB234" s="82"/>
      <c r="AC234" s="82"/>
      <c r="AD234" s="23"/>
      <c r="AE234" s="7" t="s">
        <v>429</v>
      </c>
      <c r="AH234" s="23">
        <f>SUM('2021 Detail'!J226:U226)+SUM('2021 Detail'!AA226)</f>
        <v>16400</v>
      </c>
      <c r="AJ234" s="23">
        <f t="shared" si="49"/>
        <v>6083</v>
      </c>
      <c r="AL234" t="str">
        <f t="shared" si="50"/>
        <v>Up</v>
      </c>
      <c r="AQ234" s="23">
        <v>800</v>
      </c>
    </row>
    <row r="235" spans="1:45" x14ac:dyDescent="0.2">
      <c r="A235" s="226" t="s">
        <v>180</v>
      </c>
      <c r="B235" s="9" t="s">
        <v>495</v>
      </c>
      <c r="C235" s="9" t="s">
        <v>495</v>
      </c>
      <c r="D235" s="9">
        <v>0</v>
      </c>
      <c r="E235" s="9"/>
      <c r="F235" s="9">
        <v>0</v>
      </c>
      <c r="G235" s="83">
        <v>23396</v>
      </c>
      <c r="H235" s="83">
        <f t="shared" si="46"/>
        <v>23396</v>
      </c>
      <c r="I235" s="133">
        <f t="shared" si="47"/>
        <v>1</v>
      </c>
      <c r="J235" s="82"/>
      <c r="K235" s="82"/>
      <c r="L235" s="82">
        <v>1396</v>
      </c>
      <c r="M235" s="82">
        <v>1000</v>
      </c>
      <c r="N235" s="82">
        <v>3000</v>
      </c>
      <c r="O235" s="82">
        <v>2000</v>
      </c>
      <c r="P235" s="82">
        <v>3000</v>
      </c>
      <c r="Q235" s="82">
        <v>3000</v>
      </c>
      <c r="R235" s="82">
        <v>4000</v>
      </c>
      <c r="S235" s="23">
        <v>3000</v>
      </c>
      <c r="T235" s="23"/>
      <c r="U235" s="23">
        <v>3000</v>
      </c>
      <c r="V235" s="7" t="s">
        <v>660</v>
      </c>
      <c r="W235" s="82">
        <f t="shared" si="48"/>
        <v>0</v>
      </c>
      <c r="Y235" s="4"/>
      <c r="Z235" s="4"/>
      <c r="AA235" s="82"/>
      <c r="AB235" s="82"/>
      <c r="AC235" s="82"/>
      <c r="AD235" s="23"/>
      <c r="AE235" s="7" t="s">
        <v>429</v>
      </c>
      <c r="AH235" s="23">
        <f>SUM('2021 Detail'!J227:U227)+SUM('2021 Detail'!AA227)</f>
        <v>23396</v>
      </c>
      <c r="AJ235" s="23">
        <f t="shared" si="49"/>
        <v>0</v>
      </c>
      <c r="AL235" t="str">
        <f t="shared" si="50"/>
        <v>Same</v>
      </c>
      <c r="AQ235" s="23">
        <v>3500</v>
      </c>
      <c r="AS235">
        <v>2396</v>
      </c>
    </row>
    <row r="236" spans="1:45" x14ac:dyDescent="0.2">
      <c r="A236" s="226" t="s">
        <v>181</v>
      </c>
      <c r="B236" s="9" t="s">
        <v>495</v>
      </c>
      <c r="C236" s="9" t="s">
        <v>495</v>
      </c>
      <c r="D236" s="9" t="s">
        <v>495</v>
      </c>
      <c r="E236" s="9"/>
      <c r="F236" s="9" t="s">
        <v>495</v>
      </c>
      <c r="G236" s="83">
        <v>6013</v>
      </c>
      <c r="H236" s="83">
        <f t="shared" si="46"/>
        <v>1200</v>
      </c>
      <c r="I236" s="133">
        <f t="shared" si="47"/>
        <v>0.1996</v>
      </c>
      <c r="J236" s="82">
        <v>100</v>
      </c>
      <c r="K236" s="82">
        <v>100</v>
      </c>
      <c r="L236" s="82">
        <v>100</v>
      </c>
      <c r="M236" s="82">
        <v>100</v>
      </c>
      <c r="N236" s="82">
        <v>100</v>
      </c>
      <c r="O236" s="82">
        <v>100</v>
      </c>
      <c r="P236" s="82">
        <v>100</v>
      </c>
      <c r="Q236" s="82">
        <v>100</v>
      </c>
      <c r="R236" s="82">
        <v>100</v>
      </c>
      <c r="S236" s="23">
        <v>100</v>
      </c>
      <c r="T236" s="23">
        <v>100</v>
      </c>
      <c r="U236" s="23">
        <v>100</v>
      </c>
      <c r="V236" s="7" t="s">
        <v>661</v>
      </c>
      <c r="W236" s="82">
        <f t="shared" si="48"/>
        <v>4813</v>
      </c>
      <c r="Y236" s="4"/>
      <c r="Z236" s="4"/>
      <c r="AA236" s="82"/>
      <c r="AB236" s="82"/>
      <c r="AC236" s="82"/>
      <c r="AD236" s="23"/>
      <c r="AE236" s="7" t="s">
        <v>430</v>
      </c>
      <c r="AH236" s="23">
        <f>SUM('2021 Detail'!J228:U228)+SUM('2021 Detail'!AA228)</f>
        <v>1200</v>
      </c>
      <c r="AJ236" s="23">
        <f t="shared" si="49"/>
        <v>0</v>
      </c>
      <c r="AL236" t="str">
        <f t="shared" si="50"/>
        <v>Same</v>
      </c>
      <c r="AQ236" s="23">
        <v>100</v>
      </c>
    </row>
    <row r="237" spans="1:45" x14ac:dyDescent="0.2">
      <c r="A237" s="226" t="s">
        <v>182</v>
      </c>
      <c r="B237" s="9" t="s">
        <v>495</v>
      </c>
      <c r="C237" s="9" t="s">
        <v>495</v>
      </c>
      <c r="D237" s="9" t="s">
        <v>495</v>
      </c>
      <c r="E237" s="9"/>
      <c r="F237" s="9" t="s">
        <v>495</v>
      </c>
      <c r="G237" s="83">
        <v>15032</v>
      </c>
      <c r="H237" s="83">
        <f t="shared" si="46"/>
        <v>6000</v>
      </c>
      <c r="I237" s="133">
        <f t="shared" si="47"/>
        <v>0.39910000000000001</v>
      </c>
      <c r="J237" s="82">
        <v>250</v>
      </c>
      <c r="K237" s="82">
        <v>250</v>
      </c>
      <c r="L237" s="82">
        <v>250</v>
      </c>
      <c r="M237" s="82">
        <v>250</v>
      </c>
      <c r="N237" s="82">
        <v>250</v>
      </c>
      <c r="O237" s="82">
        <v>250</v>
      </c>
      <c r="P237" s="82">
        <v>250</v>
      </c>
      <c r="Q237" s="82">
        <v>250</v>
      </c>
      <c r="R237" s="82">
        <v>250</v>
      </c>
      <c r="S237" s="23">
        <v>250</v>
      </c>
      <c r="T237" s="23">
        <v>250</v>
      </c>
      <c r="U237" s="23">
        <v>3250</v>
      </c>
      <c r="V237" s="7" t="s">
        <v>662</v>
      </c>
      <c r="W237" s="82">
        <f t="shared" si="48"/>
        <v>9032</v>
      </c>
      <c r="Y237" s="4"/>
      <c r="Z237" s="4"/>
      <c r="AA237" s="82"/>
      <c r="AB237" s="82"/>
      <c r="AC237" s="82"/>
      <c r="AD237" s="23"/>
      <c r="AE237" s="7" t="s">
        <v>430</v>
      </c>
      <c r="AH237" s="23">
        <f>SUM('2021 Detail'!J229:U229)+SUM('2021 Detail'!AA229)</f>
        <v>9000</v>
      </c>
      <c r="AJ237" s="23">
        <f t="shared" si="49"/>
        <v>-3000</v>
      </c>
      <c r="AL237" t="str">
        <f t="shared" si="50"/>
        <v>Down</v>
      </c>
      <c r="AQ237" s="23">
        <v>250</v>
      </c>
      <c r="AS237">
        <v>6000</v>
      </c>
    </row>
    <row r="238" spans="1:45" x14ac:dyDescent="0.2">
      <c r="A238" s="226" t="s">
        <v>183</v>
      </c>
      <c r="B238" s="9" t="s">
        <v>495</v>
      </c>
      <c r="C238" s="9" t="s">
        <v>495</v>
      </c>
      <c r="D238" s="9" t="s">
        <v>495</v>
      </c>
      <c r="E238" s="9"/>
      <c r="F238" s="9">
        <v>0</v>
      </c>
      <c r="G238" s="83">
        <v>20294</v>
      </c>
      <c r="H238" s="83">
        <f t="shared" si="46"/>
        <v>16950</v>
      </c>
      <c r="I238" s="133">
        <f t="shared" si="47"/>
        <v>0.83520000000000005</v>
      </c>
      <c r="J238" s="82">
        <v>750</v>
      </c>
      <c r="K238" s="82">
        <v>750</v>
      </c>
      <c r="L238" s="82">
        <v>750</v>
      </c>
      <c r="M238" s="82">
        <v>750</v>
      </c>
      <c r="N238" s="82">
        <v>2550</v>
      </c>
      <c r="O238" s="82">
        <v>1200</v>
      </c>
      <c r="P238" s="82">
        <v>1200</v>
      </c>
      <c r="Q238" s="82">
        <v>1200</v>
      </c>
      <c r="R238" s="82">
        <v>1200</v>
      </c>
      <c r="S238" s="23">
        <v>1200</v>
      </c>
      <c r="T238" s="23">
        <v>1200</v>
      </c>
      <c r="U238" s="23">
        <v>4200</v>
      </c>
      <c r="V238" s="7" t="s">
        <v>663</v>
      </c>
      <c r="W238" s="82">
        <f t="shared" si="48"/>
        <v>3344</v>
      </c>
      <c r="Y238" s="4"/>
      <c r="Z238" s="4"/>
      <c r="AA238" s="82"/>
      <c r="AB238" s="82"/>
      <c r="AC238" s="82"/>
      <c r="AD238" s="23"/>
      <c r="AE238" s="7" t="s">
        <v>430</v>
      </c>
      <c r="AH238" s="23">
        <f>SUM('2021 Detail'!J230:U230)+SUM('2021 Detail'!AA230)</f>
        <v>16312</v>
      </c>
      <c r="AJ238" s="23">
        <f t="shared" si="49"/>
        <v>638</v>
      </c>
      <c r="AL238" t="str">
        <f t="shared" si="50"/>
        <v>Up</v>
      </c>
      <c r="AQ238" s="23">
        <v>5750</v>
      </c>
    </row>
    <row r="239" spans="1:45" x14ac:dyDescent="0.2">
      <c r="A239" s="226" t="s">
        <v>184</v>
      </c>
      <c r="B239" s="9" t="s">
        <v>495</v>
      </c>
      <c r="C239" s="9" t="s">
        <v>495</v>
      </c>
      <c r="D239" s="9" t="s">
        <v>495</v>
      </c>
      <c r="E239" s="9"/>
      <c r="F239" s="9" t="s">
        <v>495</v>
      </c>
      <c r="G239" s="83">
        <v>6225</v>
      </c>
      <c r="H239" s="83">
        <f t="shared" si="46"/>
        <v>6225</v>
      </c>
      <c r="I239" s="133">
        <f t="shared" si="47"/>
        <v>1</v>
      </c>
      <c r="J239" s="82">
        <v>518.75</v>
      </c>
      <c r="K239" s="82">
        <v>518.75</v>
      </c>
      <c r="L239" s="82">
        <v>0</v>
      </c>
      <c r="M239" s="82">
        <v>1037.5</v>
      </c>
      <c r="N239" s="82">
        <v>518.75</v>
      </c>
      <c r="O239" s="82">
        <v>518.75</v>
      </c>
      <c r="P239" s="82">
        <v>518.75</v>
      </c>
      <c r="Q239" s="82">
        <v>518.75</v>
      </c>
      <c r="R239" s="82">
        <v>518.75</v>
      </c>
      <c r="S239" s="23">
        <v>518.75</v>
      </c>
      <c r="T239" s="23">
        <v>518.75</v>
      </c>
      <c r="U239" s="23">
        <v>518.75</v>
      </c>
      <c r="V239" s="7" t="s">
        <v>664</v>
      </c>
      <c r="W239" s="82">
        <f t="shared" si="48"/>
        <v>0</v>
      </c>
      <c r="Y239" s="4"/>
      <c r="Z239" s="4"/>
      <c r="AA239" s="82"/>
      <c r="AB239" s="82"/>
      <c r="AC239" s="82"/>
      <c r="AD239" s="23"/>
      <c r="AE239" s="7" t="s">
        <v>431</v>
      </c>
      <c r="AH239" s="23">
        <f>SUM('2021 Detail'!J231:U231)+SUM('2021 Detail'!AA231)</f>
        <v>6225</v>
      </c>
      <c r="AJ239" s="23">
        <f t="shared" si="49"/>
        <v>0</v>
      </c>
      <c r="AL239" t="str">
        <f t="shared" si="50"/>
        <v>Same</v>
      </c>
      <c r="AQ239" s="23">
        <v>518.75</v>
      </c>
    </row>
    <row r="240" spans="1:45" x14ac:dyDescent="0.2">
      <c r="A240" s="226" t="s">
        <v>185</v>
      </c>
      <c r="B240" s="9" t="s">
        <v>495</v>
      </c>
      <c r="C240" s="9" t="s">
        <v>495</v>
      </c>
      <c r="D240" s="9">
        <v>0</v>
      </c>
      <c r="E240" s="9"/>
      <c r="F240" s="9" t="s">
        <v>495</v>
      </c>
      <c r="G240" s="83">
        <v>8705</v>
      </c>
      <c r="H240" s="83">
        <f t="shared" si="46"/>
        <v>8705</v>
      </c>
      <c r="I240" s="133">
        <f t="shared" si="47"/>
        <v>1</v>
      </c>
      <c r="J240" s="82">
        <v>725.49</v>
      </c>
      <c r="K240" s="82">
        <v>725.41</v>
      </c>
      <c r="L240" s="82">
        <v>725.41</v>
      </c>
      <c r="M240" s="82">
        <v>725.41</v>
      </c>
      <c r="N240" s="82">
        <v>725.41</v>
      </c>
      <c r="O240" s="82">
        <v>725.41</v>
      </c>
      <c r="P240" s="82">
        <v>725.41</v>
      </c>
      <c r="Q240" s="82">
        <v>725.41</v>
      </c>
      <c r="R240" s="82">
        <v>725.41</v>
      </c>
      <c r="S240" s="23">
        <v>725.41</v>
      </c>
      <c r="T240" s="23">
        <v>725.41</v>
      </c>
      <c r="U240" s="23">
        <v>725.41</v>
      </c>
      <c r="V240" s="7" t="s">
        <v>665</v>
      </c>
      <c r="W240" s="82">
        <f t="shared" si="48"/>
        <v>0</v>
      </c>
      <c r="Y240" s="4"/>
      <c r="Z240" s="4"/>
      <c r="AA240" s="82"/>
      <c r="AB240" s="82"/>
      <c r="AC240" s="82"/>
      <c r="AD240" s="23"/>
      <c r="AE240" s="7" t="s">
        <v>431</v>
      </c>
      <c r="AH240" s="23">
        <f>SUM('2021 Detail'!J232:U232)+SUM('2021 Detail'!AA232)</f>
        <v>8705</v>
      </c>
      <c r="AJ240" s="23">
        <f t="shared" si="49"/>
        <v>0</v>
      </c>
      <c r="AL240" t="str">
        <f t="shared" si="50"/>
        <v>Same</v>
      </c>
      <c r="AQ240" s="23">
        <v>725.41</v>
      </c>
    </row>
    <row r="241" spans="1:44" x14ac:dyDescent="0.2">
      <c r="A241" s="226" t="s">
        <v>186</v>
      </c>
      <c r="B241" s="9" t="s">
        <v>495</v>
      </c>
      <c r="C241" s="9" t="s">
        <v>495</v>
      </c>
      <c r="D241" s="9" t="s">
        <v>495</v>
      </c>
      <c r="E241" s="9"/>
      <c r="F241" s="9">
        <v>0</v>
      </c>
      <c r="G241" s="83">
        <v>23282</v>
      </c>
      <c r="H241" s="83">
        <f t="shared" si="46"/>
        <v>3250</v>
      </c>
      <c r="I241" s="133">
        <f t="shared" si="47"/>
        <v>0.1396</v>
      </c>
      <c r="J241" s="82"/>
      <c r="K241" s="82"/>
      <c r="L241" s="82"/>
      <c r="M241" s="82">
        <v>2250</v>
      </c>
      <c r="N241" s="82"/>
      <c r="O241" s="82"/>
      <c r="P241" s="82"/>
      <c r="Q241" s="82"/>
      <c r="R241" s="82">
        <v>1000</v>
      </c>
      <c r="S241" s="23"/>
      <c r="T241" s="23"/>
      <c r="U241" s="23"/>
      <c r="V241" s="7" t="s">
        <v>666</v>
      </c>
      <c r="W241" s="82">
        <f t="shared" si="48"/>
        <v>20032</v>
      </c>
      <c r="Y241" s="4"/>
      <c r="Z241" s="4"/>
      <c r="AA241" s="82"/>
      <c r="AB241" s="82"/>
      <c r="AC241" s="82"/>
      <c r="AD241" s="23"/>
      <c r="AE241" s="7" t="s">
        <v>433</v>
      </c>
      <c r="AH241" s="23">
        <f>SUM('2021 Detail'!J233:U233)+SUM('2021 Detail'!AA233)</f>
        <v>9000</v>
      </c>
      <c r="AJ241" s="23">
        <f t="shared" si="49"/>
        <v>-5750</v>
      </c>
      <c r="AL241" t="str">
        <f t="shared" si="50"/>
        <v>Down</v>
      </c>
    </row>
    <row r="242" spans="1:44" x14ac:dyDescent="0.2">
      <c r="A242" s="226" t="s">
        <v>187</v>
      </c>
      <c r="B242" s="9" t="s">
        <v>495</v>
      </c>
      <c r="C242" s="9" t="s">
        <v>495</v>
      </c>
      <c r="D242" s="9" t="s">
        <v>495</v>
      </c>
      <c r="E242" s="9"/>
      <c r="F242" s="9">
        <v>0</v>
      </c>
      <c r="G242" s="83">
        <v>46435</v>
      </c>
      <c r="H242" s="83">
        <f t="shared" si="46"/>
        <v>43435</v>
      </c>
      <c r="I242" s="133">
        <f t="shared" si="47"/>
        <v>0.93540000000000001</v>
      </c>
      <c r="J242" s="82"/>
      <c r="K242" s="82">
        <v>6000</v>
      </c>
      <c r="L242" s="82">
        <v>3000</v>
      </c>
      <c r="M242" s="82">
        <v>3000</v>
      </c>
      <c r="N242" s="82">
        <v>3000</v>
      </c>
      <c r="O242" s="82">
        <v>3000</v>
      </c>
      <c r="P242" s="82">
        <v>3000</v>
      </c>
      <c r="Q242" s="82">
        <v>3000</v>
      </c>
      <c r="R242" s="82">
        <v>5000</v>
      </c>
      <c r="S242" s="23">
        <v>5000</v>
      </c>
      <c r="T242" s="23">
        <v>5000</v>
      </c>
      <c r="U242" s="23">
        <v>4435</v>
      </c>
      <c r="V242" s="7" t="s">
        <v>667</v>
      </c>
      <c r="W242" s="82">
        <f t="shared" si="48"/>
        <v>3000</v>
      </c>
      <c r="Y242" s="4"/>
      <c r="Z242" s="4"/>
      <c r="AA242" s="82"/>
      <c r="AB242" s="82"/>
      <c r="AC242" s="82"/>
      <c r="AD242" s="23"/>
      <c r="AE242" s="7" t="s">
        <v>433</v>
      </c>
      <c r="AH242" s="23">
        <f>SUM('2021 Detail'!J234:U234)+SUM('2021 Detail'!AA234)</f>
        <v>38000</v>
      </c>
      <c r="AJ242" s="23">
        <f t="shared" si="49"/>
        <v>5435</v>
      </c>
      <c r="AL242" t="str">
        <f t="shared" si="50"/>
        <v>Up</v>
      </c>
      <c r="AQ242" s="23">
        <v>6500</v>
      </c>
    </row>
    <row r="243" spans="1:44" x14ac:dyDescent="0.2">
      <c r="A243" s="226" t="s">
        <v>188</v>
      </c>
      <c r="B243" s="9" t="s">
        <v>495</v>
      </c>
      <c r="C243" s="9" t="s">
        <v>495</v>
      </c>
      <c r="D243" s="9" t="s">
        <v>495</v>
      </c>
      <c r="E243" s="9"/>
      <c r="F243" s="9" t="s">
        <v>495</v>
      </c>
      <c r="G243" s="83">
        <v>13246</v>
      </c>
      <c r="H243" s="83">
        <f t="shared" si="46"/>
        <v>6000</v>
      </c>
      <c r="I243" s="133">
        <f t="shared" si="47"/>
        <v>0.45300000000000001</v>
      </c>
      <c r="J243" s="82">
        <v>500</v>
      </c>
      <c r="K243" s="82">
        <v>500</v>
      </c>
      <c r="L243" s="82">
        <v>500</v>
      </c>
      <c r="M243" s="82">
        <v>500</v>
      </c>
      <c r="N243" s="82">
        <v>500</v>
      </c>
      <c r="O243" s="82">
        <v>500</v>
      </c>
      <c r="P243" s="82">
        <v>500</v>
      </c>
      <c r="Q243" s="82">
        <v>500</v>
      </c>
      <c r="R243" s="82">
        <v>500</v>
      </c>
      <c r="S243" s="23">
        <v>500</v>
      </c>
      <c r="T243" s="23">
        <v>500</v>
      </c>
      <c r="U243" s="23">
        <v>500</v>
      </c>
      <c r="V243" s="7" t="s">
        <v>668</v>
      </c>
      <c r="W243" s="82">
        <f t="shared" si="48"/>
        <v>7246</v>
      </c>
      <c r="Y243" s="4"/>
      <c r="Z243" s="4"/>
      <c r="AA243" s="82"/>
      <c r="AB243" s="82"/>
      <c r="AC243" s="82"/>
      <c r="AD243" s="23"/>
      <c r="AE243" s="7" t="s">
        <v>434</v>
      </c>
      <c r="AH243" s="23">
        <f>SUM('2021 Detail'!J235:U235)+SUM('2021 Detail'!AA235)</f>
        <v>6000</v>
      </c>
      <c r="AJ243" s="23">
        <f t="shared" si="49"/>
        <v>0</v>
      </c>
      <c r="AL243" t="str">
        <f t="shared" si="50"/>
        <v>Same</v>
      </c>
      <c r="AQ243" s="23">
        <v>500</v>
      </c>
    </row>
    <row r="244" spans="1:44" x14ac:dyDescent="0.2">
      <c r="A244" s="226" t="s">
        <v>189</v>
      </c>
      <c r="B244" s="9" t="s">
        <v>495</v>
      </c>
      <c r="C244" s="9" t="s">
        <v>495</v>
      </c>
      <c r="D244" s="9" t="s">
        <v>495</v>
      </c>
      <c r="E244" s="9"/>
      <c r="F244" s="9">
        <v>0</v>
      </c>
      <c r="G244" s="83">
        <v>30909</v>
      </c>
      <c r="H244" s="83">
        <f t="shared" si="46"/>
        <v>10000</v>
      </c>
      <c r="I244" s="133">
        <f t="shared" si="47"/>
        <v>0.32350000000000001</v>
      </c>
      <c r="J244" s="82">
        <v>1000</v>
      </c>
      <c r="K244" s="82"/>
      <c r="L244" s="82">
        <v>1000</v>
      </c>
      <c r="M244" s="82"/>
      <c r="N244" s="82">
        <v>1000</v>
      </c>
      <c r="O244" s="82">
        <v>1000</v>
      </c>
      <c r="P244" s="82">
        <v>1000</v>
      </c>
      <c r="Q244" s="82">
        <v>2000</v>
      </c>
      <c r="R244" s="82"/>
      <c r="S244" s="23">
        <v>2000</v>
      </c>
      <c r="T244" s="23">
        <v>1000</v>
      </c>
      <c r="U244" s="23"/>
      <c r="V244" s="7" t="s">
        <v>669</v>
      </c>
      <c r="W244" s="82">
        <f t="shared" si="48"/>
        <v>20909</v>
      </c>
      <c r="Y244" s="4"/>
      <c r="Z244" s="4"/>
      <c r="AA244" s="82"/>
      <c r="AB244" s="82"/>
      <c r="AC244" s="82"/>
      <c r="AD244" s="23"/>
      <c r="AE244" s="7" t="s">
        <v>434</v>
      </c>
      <c r="AH244" s="23">
        <f>SUM('2021 Detail'!J236:U236)+SUM('2021 Detail'!AA236)</f>
        <v>15000</v>
      </c>
      <c r="AJ244" s="23">
        <f t="shared" si="49"/>
        <v>-5000</v>
      </c>
      <c r="AL244" t="str">
        <f t="shared" si="50"/>
        <v>Down</v>
      </c>
      <c r="AQ244" s="23">
        <v>3000</v>
      </c>
    </row>
    <row r="245" spans="1:44" x14ac:dyDescent="0.2">
      <c r="A245" s="226" t="s">
        <v>190</v>
      </c>
      <c r="B245" s="9" t="s">
        <v>495</v>
      </c>
      <c r="C245" s="9" t="s">
        <v>495</v>
      </c>
      <c r="D245" s="9">
        <v>0</v>
      </c>
      <c r="E245" s="9"/>
      <c r="F245" s="9" t="s">
        <v>495</v>
      </c>
      <c r="G245" s="83">
        <v>43757</v>
      </c>
      <c r="H245" s="83">
        <f t="shared" si="46"/>
        <v>30000</v>
      </c>
      <c r="I245" s="133">
        <f t="shared" si="47"/>
        <v>0.68559999999999999</v>
      </c>
      <c r="J245" s="82">
        <v>2500</v>
      </c>
      <c r="K245" s="82">
        <v>2000</v>
      </c>
      <c r="L245" s="82">
        <v>2500</v>
      </c>
      <c r="M245" s="82">
        <v>2500</v>
      </c>
      <c r="N245" s="82"/>
      <c r="O245" s="82">
        <v>3000</v>
      </c>
      <c r="P245" s="82"/>
      <c r="Q245" s="82">
        <v>4000</v>
      </c>
      <c r="R245" s="82"/>
      <c r="S245" s="23">
        <v>6000</v>
      </c>
      <c r="T245" s="23">
        <v>3000</v>
      </c>
      <c r="U245" s="23">
        <v>4500</v>
      </c>
      <c r="V245" s="7" t="s">
        <v>670</v>
      </c>
      <c r="W245" s="82">
        <f t="shared" si="48"/>
        <v>13757</v>
      </c>
      <c r="Y245" s="4"/>
      <c r="Z245" s="4"/>
      <c r="AA245" s="82"/>
      <c r="AB245" s="82"/>
      <c r="AC245" s="82"/>
      <c r="AD245" s="23"/>
      <c r="AE245" s="7" t="s">
        <v>435</v>
      </c>
      <c r="AH245" s="23">
        <f>SUM('2021 Detail'!J237:U237)+SUM('2021 Detail'!AA237)</f>
        <v>26000</v>
      </c>
      <c r="AJ245" s="23">
        <f t="shared" si="49"/>
        <v>4000</v>
      </c>
      <c r="AL245" t="str">
        <f t="shared" si="50"/>
        <v>Up</v>
      </c>
      <c r="AQ245" s="23">
        <v>7000</v>
      </c>
    </row>
    <row r="246" spans="1:44" x14ac:dyDescent="0.2">
      <c r="A246" s="226" t="s">
        <v>191</v>
      </c>
      <c r="B246" s="9" t="s">
        <v>495</v>
      </c>
      <c r="C246" s="9" t="s">
        <v>495</v>
      </c>
      <c r="D246" s="9">
        <v>0</v>
      </c>
      <c r="E246" s="9"/>
      <c r="F246" s="9">
        <v>0</v>
      </c>
      <c r="G246" s="83">
        <v>62275</v>
      </c>
      <c r="H246" s="83">
        <f t="shared" si="46"/>
        <v>47000</v>
      </c>
      <c r="I246" s="133">
        <f t="shared" si="47"/>
        <v>0.75470000000000004</v>
      </c>
      <c r="J246" s="82"/>
      <c r="K246" s="82">
        <v>3000</v>
      </c>
      <c r="L246" s="82"/>
      <c r="M246" s="82"/>
      <c r="N246" s="82"/>
      <c r="O246" s="82">
        <v>12000</v>
      </c>
      <c r="P246" s="82"/>
      <c r="Q246" s="82">
        <v>10000</v>
      </c>
      <c r="R246" s="82">
        <v>7000</v>
      </c>
      <c r="S246" s="23"/>
      <c r="T246" s="23">
        <v>10000</v>
      </c>
      <c r="U246" s="23">
        <v>5000</v>
      </c>
      <c r="V246" s="7" t="s">
        <v>671</v>
      </c>
      <c r="W246" s="82">
        <f t="shared" si="48"/>
        <v>15275</v>
      </c>
      <c r="Y246" s="4"/>
      <c r="Z246" s="4"/>
      <c r="AA246" s="82"/>
      <c r="AB246" s="82"/>
      <c r="AC246" s="82"/>
      <c r="AD246" s="23"/>
      <c r="AE246" s="7" t="s">
        <v>436</v>
      </c>
      <c r="AH246" s="23">
        <f>SUM('2021 Detail'!J238:U238)+SUM('2021 Detail'!AA238)</f>
        <v>46000</v>
      </c>
      <c r="AJ246" s="23">
        <f t="shared" si="49"/>
        <v>1000</v>
      </c>
      <c r="AL246" t="str">
        <f t="shared" si="50"/>
        <v>Up</v>
      </c>
      <c r="AQ246" s="23">
        <v>8000</v>
      </c>
    </row>
    <row r="247" spans="1:44" x14ac:dyDescent="0.2">
      <c r="A247" s="226" t="s">
        <v>192</v>
      </c>
      <c r="B247" s="9" t="s">
        <v>495</v>
      </c>
      <c r="C247" s="9" t="s">
        <v>495</v>
      </c>
      <c r="D247" s="9" t="s">
        <v>495</v>
      </c>
      <c r="E247" s="9"/>
      <c r="F247" s="9">
        <v>0</v>
      </c>
      <c r="G247" s="83">
        <v>52917</v>
      </c>
      <c r="H247" s="83">
        <f t="shared" si="46"/>
        <v>52917</v>
      </c>
      <c r="I247" s="133">
        <f t="shared" si="47"/>
        <v>1</v>
      </c>
      <c r="J247" s="82">
        <v>5296</v>
      </c>
      <c r="K247" s="82">
        <v>6000</v>
      </c>
      <c r="L247" s="82">
        <v>4000</v>
      </c>
      <c r="M247" s="82">
        <v>2000</v>
      </c>
      <c r="N247" s="82">
        <v>2000</v>
      </c>
      <c r="O247" s="82">
        <v>2000</v>
      </c>
      <c r="P247" s="82">
        <v>2000</v>
      </c>
      <c r="Q247" s="82">
        <v>4000</v>
      </c>
      <c r="R247" s="82">
        <v>4000</v>
      </c>
      <c r="S247" s="23">
        <v>9000</v>
      </c>
      <c r="T247" s="23">
        <v>5000</v>
      </c>
      <c r="U247" s="23">
        <v>7621</v>
      </c>
      <c r="V247" s="7" t="s">
        <v>672</v>
      </c>
      <c r="W247" s="82">
        <f t="shared" si="48"/>
        <v>0</v>
      </c>
      <c r="Y247" s="4"/>
      <c r="Z247" s="4"/>
      <c r="AA247" s="82"/>
      <c r="AB247" s="82"/>
      <c r="AC247" s="82"/>
      <c r="AD247" s="23"/>
      <c r="AE247" s="7" t="s">
        <v>437</v>
      </c>
      <c r="AH247" s="23">
        <f>SUM('2021 Detail'!J239:U239)+SUM('2021 Detail'!AA239)</f>
        <v>50796</v>
      </c>
      <c r="AJ247" s="23">
        <f t="shared" si="49"/>
        <v>2121</v>
      </c>
      <c r="AL247" t="str">
        <f t="shared" si="50"/>
        <v>Up</v>
      </c>
      <c r="AQ247" s="23">
        <v>5296</v>
      </c>
    </row>
    <row r="248" spans="1:44" x14ac:dyDescent="0.2">
      <c r="A248" s="226" t="s">
        <v>193</v>
      </c>
      <c r="B248" s="9" t="s">
        <v>495</v>
      </c>
      <c r="C248" s="9" t="s">
        <v>495</v>
      </c>
      <c r="D248" s="9">
        <v>0</v>
      </c>
      <c r="E248" s="9"/>
      <c r="F248" s="9">
        <v>0</v>
      </c>
      <c r="G248" s="83">
        <v>10374</v>
      </c>
      <c r="H248" s="83">
        <f t="shared" si="46"/>
        <v>10374</v>
      </c>
      <c r="I248" s="133">
        <f t="shared" si="47"/>
        <v>1</v>
      </c>
      <c r="J248" s="82"/>
      <c r="K248" s="82"/>
      <c r="L248" s="82">
        <v>3000</v>
      </c>
      <c r="M248" s="82"/>
      <c r="N248" s="82"/>
      <c r="O248" s="82">
        <v>2000</v>
      </c>
      <c r="P248" s="82"/>
      <c r="Q248" s="82"/>
      <c r="R248" s="82">
        <v>3000</v>
      </c>
      <c r="S248" s="23"/>
      <c r="T248" s="23">
        <v>2374</v>
      </c>
      <c r="U248" s="23"/>
      <c r="V248" s="7" t="s">
        <v>673</v>
      </c>
      <c r="W248" s="82">
        <f t="shared" si="48"/>
        <v>0</v>
      </c>
      <c r="Y248" s="4"/>
      <c r="Z248" s="4"/>
      <c r="AA248" s="82"/>
      <c r="AB248" s="82"/>
      <c r="AC248" s="82"/>
      <c r="AD248" s="23"/>
      <c r="AE248" s="7" t="s">
        <v>431</v>
      </c>
      <c r="AH248" s="23">
        <f>SUM('2021 Detail'!J240:U240)+SUM('2021 Detail'!AA240)</f>
        <v>10374</v>
      </c>
      <c r="AJ248" s="23">
        <f t="shared" si="49"/>
        <v>0</v>
      </c>
      <c r="AL248" t="str">
        <f t="shared" si="50"/>
        <v>Same</v>
      </c>
    </row>
    <row r="249" spans="1:44" x14ac:dyDescent="0.2">
      <c r="A249" s="226" t="s">
        <v>194</v>
      </c>
      <c r="B249" s="9" t="s">
        <v>495</v>
      </c>
      <c r="C249" s="9" t="s">
        <v>495</v>
      </c>
      <c r="D249" s="9" t="s">
        <v>495</v>
      </c>
      <c r="E249" s="9"/>
      <c r="F249" s="9">
        <v>0</v>
      </c>
      <c r="G249" s="83">
        <v>69781</v>
      </c>
      <c r="H249" s="83">
        <f t="shared" si="46"/>
        <v>61500</v>
      </c>
      <c r="I249" s="133">
        <f t="shared" si="47"/>
        <v>0.88129999999999997</v>
      </c>
      <c r="J249" s="82"/>
      <c r="K249" s="82">
        <v>5000</v>
      </c>
      <c r="L249" s="82">
        <v>5000</v>
      </c>
      <c r="M249" s="82"/>
      <c r="N249" s="82">
        <v>5000</v>
      </c>
      <c r="O249" s="82">
        <v>9000</v>
      </c>
      <c r="P249" s="82">
        <v>8000</v>
      </c>
      <c r="Q249" s="82">
        <v>4500</v>
      </c>
      <c r="R249" s="82">
        <v>8000</v>
      </c>
      <c r="S249" s="23"/>
      <c r="T249" s="23">
        <v>5000</v>
      </c>
      <c r="U249" s="23">
        <v>12000</v>
      </c>
      <c r="V249" s="7" t="s">
        <v>674</v>
      </c>
      <c r="W249" s="82">
        <f t="shared" si="48"/>
        <v>8281</v>
      </c>
      <c r="Y249" s="4"/>
      <c r="Z249" s="4"/>
      <c r="AA249" s="82"/>
      <c r="AB249" s="82"/>
      <c r="AC249" s="82"/>
      <c r="AD249" s="23"/>
      <c r="AE249" s="7" t="s">
        <v>432</v>
      </c>
      <c r="AH249" s="23">
        <f>SUM('2021 Detail'!J241:U241)+SUM('2021 Detail'!AA241)</f>
        <v>65315</v>
      </c>
      <c r="AJ249" s="23">
        <f t="shared" si="49"/>
        <v>-3815</v>
      </c>
      <c r="AL249" t="str">
        <f t="shared" si="50"/>
        <v>Down</v>
      </c>
      <c r="AQ249" s="23">
        <v>10500</v>
      </c>
    </row>
    <row r="250" spans="1:44" x14ac:dyDescent="0.2">
      <c r="A250" s="226" t="s">
        <v>195</v>
      </c>
      <c r="B250" s="9">
        <v>0</v>
      </c>
      <c r="C250" s="9" t="s">
        <v>495</v>
      </c>
      <c r="D250" s="9" t="s">
        <v>495</v>
      </c>
      <c r="E250" s="9"/>
      <c r="F250" s="9">
        <v>0</v>
      </c>
      <c r="G250" s="83">
        <v>20294</v>
      </c>
      <c r="H250" s="83">
        <f t="shared" si="46"/>
        <v>5000</v>
      </c>
      <c r="I250" s="133">
        <f t="shared" si="47"/>
        <v>0.24640000000000001</v>
      </c>
      <c r="J250" s="82"/>
      <c r="K250" s="82"/>
      <c r="L250" s="82"/>
      <c r="M250" s="82"/>
      <c r="N250" s="82"/>
      <c r="O250" s="82"/>
      <c r="P250" s="82"/>
      <c r="Q250" s="82"/>
      <c r="R250" s="82"/>
      <c r="S250" s="23"/>
      <c r="T250" s="23"/>
      <c r="U250" s="23">
        <v>5000</v>
      </c>
      <c r="V250" s="7" t="s">
        <v>675</v>
      </c>
      <c r="W250" s="82">
        <f t="shared" si="48"/>
        <v>15294</v>
      </c>
      <c r="Y250" s="4"/>
      <c r="Z250" s="4"/>
      <c r="AA250" s="82"/>
      <c r="AB250" s="82"/>
      <c r="AC250" s="82"/>
      <c r="AD250" s="23"/>
      <c r="AE250" s="7" t="s">
        <v>430</v>
      </c>
      <c r="AH250" s="23">
        <f>SUM('2021 Detail'!J242:U242)+SUM('2021 Detail'!AA242)</f>
        <v>12500</v>
      </c>
      <c r="AJ250" s="23">
        <f t="shared" si="49"/>
        <v>-7500</v>
      </c>
      <c r="AL250" t="str">
        <f t="shared" si="50"/>
        <v>Down</v>
      </c>
      <c r="AQ250" s="23">
        <v>5000</v>
      </c>
    </row>
    <row r="251" spans="1:44" x14ac:dyDescent="0.2">
      <c r="A251" s="226" t="s">
        <v>196</v>
      </c>
      <c r="B251" s="9">
        <v>0</v>
      </c>
      <c r="C251" s="9">
        <v>0</v>
      </c>
      <c r="D251" s="9">
        <v>0</v>
      </c>
      <c r="E251" s="9"/>
      <c r="F251" s="9">
        <v>0</v>
      </c>
      <c r="G251" s="83">
        <v>12778</v>
      </c>
      <c r="H251" s="83">
        <f t="shared" si="46"/>
        <v>5000</v>
      </c>
      <c r="I251" s="133">
        <f t="shared" si="47"/>
        <v>0.39129999999999998</v>
      </c>
      <c r="J251" s="82"/>
      <c r="K251" s="82"/>
      <c r="L251" s="82"/>
      <c r="M251" s="82"/>
      <c r="N251" s="82"/>
      <c r="O251" s="82"/>
      <c r="P251" s="82"/>
      <c r="Q251" s="82"/>
      <c r="R251" s="82"/>
      <c r="S251" s="23"/>
      <c r="T251" s="23"/>
      <c r="U251" s="23">
        <v>5000</v>
      </c>
      <c r="V251" s="7" t="s">
        <v>676</v>
      </c>
      <c r="W251" s="82">
        <f t="shared" si="48"/>
        <v>7778</v>
      </c>
      <c r="Y251" s="4"/>
      <c r="Z251" s="4"/>
      <c r="AA251" s="82"/>
      <c r="AB251" s="82"/>
      <c r="AC251" s="82"/>
      <c r="AD251" s="23"/>
      <c r="AE251" s="7" t="s">
        <v>430</v>
      </c>
      <c r="AH251" s="23">
        <f>SUM('2021 Detail'!J243:U243)+SUM('2021 Detail'!AA243)</f>
        <v>0</v>
      </c>
      <c r="AJ251" s="23">
        <f t="shared" si="49"/>
        <v>5000</v>
      </c>
      <c r="AL251" t="str">
        <f t="shared" si="50"/>
        <v>Up</v>
      </c>
    </row>
    <row r="252" spans="1:44" x14ac:dyDescent="0.2">
      <c r="A252" s="226" t="s">
        <v>197</v>
      </c>
      <c r="B252" s="9" t="s">
        <v>495</v>
      </c>
      <c r="C252" s="9" t="s">
        <v>495</v>
      </c>
      <c r="D252" s="9" t="s">
        <v>495</v>
      </c>
      <c r="E252" s="9"/>
      <c r="F252" s="9">
        <v>0</v>
      </c>
      <c r="G252" s="83">
        <v>18205</v>
      </c>
      <c r="H252" s="83">
        <f t="shared" si="46"/>
        <v>16687.82</v>
      </c>
      <c r="I252" s="133">
        <f t="shared" si="47"/>
        <v>0.91669999999999996</v>
      </c>
      <c r="J252" s="82">
        <v>1500</v>
      </c>
      <c r="K252" s="82">
        <v>1500</v>
      </c>
      <c r="L252" s="82">
        <v>1551.25</v>
      </c>
      <c r="M252" s="82">
        <v>1517</v>
      </c>
      <c r="N252" s="82">
        <v>1517</v>
      </c>
      <c r="O252" s="82">
        <v>1517.25</v>
      </c>
      <c r="P252" s="82">
        <v>1517.08</v>
      </c>
      <c r="Q252" s="82">
        <v>1517.08</v>
      </c>
      <c r="R252" s="82">
        <v>1517.08</v>
      </c>
      <c r="S252" s="23">
        <v>1517.08</v>
      </c>
      <c r="T252" s="23"/>
      <c r="U252" s="23"/>
      <c r="V252" s="7" t="s">
        <v>677</v>
      </c>
      <c r="W252" s="82">
        <f t="shared" si="48"/>
        <v>1517.1800000000003</v>
      </c>
      <c r="Y252" s="4"/>
      <c r="Z252" s="4"/>
      <c r="AA252" s="82">
        <v>1517</v>
      </c>
      <c r="AB252" s="82"/>
      <c r="AC252" s="82"/>
      <c r="AD252" s="23"/>
      <c r="AE252" s="7" t="s">
        <v>438</v>
      </c>
      <c r="AH252" s="23">
        <f>SUM('2021 Detail'!J244:U244)+SUM('2021 Detail'!AA244)</f>
        <v>14600</v>
      </c>
      <c r="AJ252" s="23">
        <f t="shared" si="49"/>
        <v>2087.8199999999997</v>
      </c>
      <c r="AL252" t="str">
        <f t="shared" si="50"/>
        <v>Up</v>
      </c>
      <c r="AQ252" s="23">
        <v>1000</v>
      </c>
    </row>
    <row r="253" spans="1:44" x14ac:dyDescent="0.2">
      <c r="A253" s="226" t="s">
        <v>198</v>
      </c>
      <c r="B253" s="9" t="s">
        <v>495</v>
      </c>
      <c r="C253" s="9" t="s">
        <v>495</v>
      </c>
      <c r="D253" s="9">
        <v>0</v>
      </c>
      <c r="E253" s="9"/>
      <c r="F253" s="9">
        <v>0</v>
      </c>
      <c r="G253" s="83">
        <v>16449</v>
      </c>
      <c r="H253" s="83">
        <f t="shared" si="46"/>
        <v>500</v>
      </c>
      <c r="I253" s="133">
        <f t="shared" si="47"/>
        <v>3.04E-2</v>
      </c>
      <c r="J253" s="82"/>
      <c r="K253" s="82"/>
      <c r="L253" s="82"/>
      <c r="M253" s="82"/>
      <c r="N253" s="82"/>
      <c r="O253" s="82"/>
      <c r="P253" s="82"/>
      <c r="Q253" s="82"/>
      <c r="R253" s="82"/>
      <c r="S253" s="23"/>
      <c r="T253" s="23"/>
      <c r="U253" s="23">
        <v>500</v>
      </c>
      <c r="V253" s="7" t="s">
        <v>678</v>
      </c>
      <c r="W253" s="82">
        <f t="shared" si="48"/>
        <v>15949</v>
      </c>
      <c r="Y253" s="4"/>
      <c r="Z253" s="4"/>
      <c r="AA253" s="82"/>
      <c r="AB253" s="82"/>
      <c r="AC253" s="82"/>
      <c r="AD253" s="23"/>
      <c r="AE253" s="7" t="s">
        <v>438</v>
      </c>
      <c r="AH253" s="23">
        <f>SUM('2021 Detail'!J245:U245)+SUM('2021 Detail'!AA245)</f>
        <v>13000</v>
      </c>
      <c r="AJ253" s="23">
        <f t="shared" si="49"/>
        <v>-12500</v>
      </c>
      <c r="AL253" t="str">
        <f t="shared" si="50"/>
        <v>Down</v>
      </c>
      <c r="AQ253" s="23">
        <v>4000</v>
      </c>
    </row>
    <row r="254" spans="1:44" x14ac:dyDescent="0.2">
      <c r="A254" s="226" t="s">
        <v>199</v>
      </c>
      <c r="B254" s="9" t="s">
        <v>495</v>
      </c>
      <c r="C254" s="9" t="s">
        <v>495</v>
      </c>
      <c r="D254" s="9" t="s">
        <v>495</v>
      </c>
      <c r="E254" s="9"/>
      <c r="F254" s="9">
        <v>0</v>
      </c>
      <c r="G254" s="83">
        <v>17857</v>
      </c>
      <c r="H254" s="83">
        <f t="shared" si="46"/>
        <v>17857</v>
      </c>
      <c r="I254" s="133">
        <f t="shared" si="47"/>
        <v>1</v>
      </c>
      <c r="J254" s="82">
        <v>450</v>
      </c>
      <c r="K254" s="82">
        <v>450</v>
      </c>
      <c r="L254" s="82">
        <v>450</v>
      </c>
      <c r="M254" s="82">
        <v>450</v>
      </c>
      <c r="N254" s="82">
        <v>450</v>
      </c>
      <c r="O254" s="82">
        <v>450</v>
      </c>
      <c r="P254" s="82">
        <v>5450</v>
      </c>
      <c r="Q254" s="82">
        <v>450</v>
      </c>
      <c r="R254" s="82">
        <v>5450</v>
      </c>
      <c r="S254" s="23">
        <v>450</v>
      </c>
      <c r="T254" s="23">
        <v>2907</v>
      </c>
      <c r="U254" s="23">
        <v>450</v>
      </c>
      <c r="V254" s="7" t="s">
        <v>679</v>
      </c>
      <c r="W254" s="82">
        <f t="shared" si="48"/>
        <v>0</v>
      </c>
      <c r="Y254" s="4"/>
      <c r="Z254" s="4"/>
      <c r="AA254" s="82"/>
      <c r="AB254" s="82"/>
      <c r="AC254" s="82"/>
      <c r="AD254" s="23"/>
      <c r="AE254" s="7" t="s">
        <v>438</v>
      </c>
      <c r="AH254" s="23">
        <f>SUM('2021 Detail'!J246:U246)+SUM('2021 Detail'!AA246)</f>
        <v>17857</v>
      </c>
      <c r="AJ254" s="23">
        <f t="shared" si="49"/>
        <v>0</v>
      </c>
      <c r="AL254" t="str">
        <f t="shared" si="50"/>
        <v>Same</v>
      </c>
      <c r="AQ254" s="23">
        <v>5907</v>
      </c>
    </row>
    <row r="255" spans="1:44" x14ac:dyDescent="0.2">
      <c r="A255" s="226" t="s">
        <v>200</v>
      </c>
      <c r="B255" s="9" t="s">
        <v>495</v>
      </c>
      <c r="C255" s="9" t="s">
        <v>495</v>
      </c>
      <c r="D255" s="9">
        <v>0</v>
      </c>
      <c r="E255" s="9"/>
      <c r="F255" s="9">
        <v>0</v>
      </c>
      <c r="G255" s="83">
        <v>17704</v>
      </c>
      <c r="H255" s="83">
        <f t="shared" si="46"/>
        <v>17704</v>
      </c>
      <c r="I255" s="133">
        <f t="shared" si="47"/>
        <v>1</v>
      </c>
      <c r="J255" s="82"/>
      <c r="K255" s="82"/>
      <c r="L255" s="82"/>
      <c r="M255" s="82"/>
      <c r="N255" s="82">
        <v>2000</v>
      </c>
      <c r="O255" s="82"/>
      <c r="P255" s="82">
        <v>3000</v>
      </c>
      <c r="Q255" s="82"/>
      <c r="R255" s="82">
        <v>5000</v>
      </c>
      <c r="S255" s="23"/>
      <c r="T255" s="23"/>
      <c r="U255" s="23">
        <v>7704</v>
      </c>
      <c r="V255" s="7" t="s">
        <v>680</v>
      </c>
      <c r="W255" s="82">
        <f t="shared" si="48"/>
        <v>0</v>
      </c>
      <c r="Y255" s="4"/>
      <c r="Z255" s="4"/>
      <c r="AA255" s="82"/>
      <c r="AB255" s="82"/>
      <c r="AC255" s="82"/>
      <c r="AD255" s="23"/>
      <c r="AE255" s="7" t="s">
        <v>438</v>
      </c>
      <c r="AH255" s="23">
        <f>SUM('2021 Detail'!J247:U247)+SUM('2021 Detail'!AA247)</f>
        <v>15000</v>
      </c>
      <c r="AJ255" s="23">
        <f t="shared" si="49"/>
        <v>2704</v>
      </c>
      <c r="AL255" t="str">
        <f t="shared" si="50"/>
        <v>Up</v>
      </c>
      <c r="AQ255" s="23">
        <v>3000</v>
      </c>
    </row>
    <row r="256" spans="1:44" x14ac:dyDescent="0.2">
      <c r="A256" s="226" t="s">
        <v>201</v>
      </c>
      <c r="B256" s="9">
        <v>0</v>
      </c>
      <c r="C256" s="9" t="s">
        <v>495</v>
      </c>
      <c r="D256" s="9" t="s">
        <v>495</v>
      </c>
      <c r="E256" s="9"/>
      <c r="F256" s="9" t="s">
        <v>495</v>
      </c>
      <c r="G256" s="83">
        <v>16831</v>
      </c>
      <c r="H256" s="83">
        <f t="shared" si="46"/>
        <v>13465</v>
      </c>
      <c r="I256" s="133">
        <f t="shared" si="47"/>
        <v>0.8</v>
      </c>
      <c r="J256" s="82">
        <v>600</v>
      </c>
      <c r="K256" s="82">
        <v>600</v>
      </c>
      <c r="L256" s="82">
        <v>600</v>
      </c>
      <c r="M256" s="82">
        <v>600</v>
      </c>
      <c r="N256" s="82">
        <v>600</v>
      </c>
      <c r="O256" s="82">
        <v>600</v>
      </c>
      <c r="P256" s="82">
        <v>600</v>
      </c>
      <c r="Q256" s="82">
        <v>600</v>
      </c>
      <c r="R256" s="82">
        <v>600</v>
      </c>
      <c r="S256" s="23">
        <v>600</v>
      </c>
      <c r="T256" s="23">
        <v>600</v>
      </c>
      <c r="U256" s="23">
        <v>6865</v>
      </c>
      <c r="V256" s="7" t="s">
        <v>681</v>
      </c>
      <c r="W256" s="82">
        <f t="shared" si="48"/>
        <v>3366</v>
      </c>
      <c r="Y256" s="4"/>
      <c r="Z256" s="4"/>
      <c r="AA256" s="82"/>
      <c r="AB256" s="82"/>
      <c r="AC256" s="82"/>
      <c r="AD256" s="23"/>
      <c r="AE256" s="7" t="s">
        <v>439</v>
      </c>
      <c r="AH256" s="23">
        <f>SUM('2021 Detail'!J248:U248)+SUM('2021 Detail'!AA248)</f>
        <v>7200</v>
      </c>
      <c r="AJ256" s="23">
        <f t="shared" si="49"/>
        <v>6265</v>
      </c>
      <c r="AL256" t="str">
        <f t="shared" si="50"/>
        <v>Up</v>
      </c>
      <c r="AQ256" s="23">
        <v>600</v>
      </c>
      <c r="AR256">
        <v>16455</v>
      </c>
    </row>
    <row r="257" spans="1:46" x14ac:dyDescent="0.2">
      <c r="A257" s="226" t="s">
        <v>202</v>
      </c>
      <c r="B257" s="9" t="s">
        <v>495</v>
      </c>
      <c r="C257" s="9" t="s">
        <v>495</v>
      </c>
      <c r="D257" s="9">
        <v>0</v>
      </c>
      <c r="E257" s="9"/>
      <c r="F257" s="9">
        <v>0</v>
      </c>
      <c r="G257" s="83">
        <v>16831</v>
      </c>
      <c r="H257" s="83">
        <f t="shared" si="46"/>
        <v>13000</v>
      </c>
      <c r="I257" s="133">
        <f t="shared" si="47"/>
        <v>0.77239999999999998</v>
      </c>
      <c r="J257" s="82"/>
      <c r="K257" s="82"/>
      <c r="L257" s="82"/>
      <c r="M257" s="82"/>
      <c r="N257" s="82"/>
      <c r="O257" s="82"/>
      <c r="P257" s="82"/>
      <c r="Q257" s="82">
        <v>8000</v>
      </c>
      <c r="R257" s="82"/>
      <c r="S257" s="23"/>
      <c r="T257" s="23"/>
      <c r="U257" s="23"/>
      <c r="V257" s="7" t="s">
        <v>682</v>
      </c>
      <c r="W257" s="82">
        <f t="shared" si="48"/>
        <v>3831</v>
      </c>
      <c r="Y257" s="4"/>
      <c r="Z257" s="4"/>
      <c r="AA257" s="82"/>
      <c r="AB257" s="82">
        <v>5000</v>
      </c>
      <c r="AC257" s="82"/>
      <c r="AD257" s="23"/>
      <c r="AE257" s="7" t="s">
        <v>439</v>
      </c>
      <c r="AH257" s="23">
        <f>SUM('2021 Detail'!J249:U249)+SUM('2021 Detail'!AA249)</f>
        <v>6000</v>
      </c>
      <c r="AJ257" s="23">
        <f t="shared" si="49"/>
        <v>7000</v>
      </c>
      <c r="AL257" t="str">
        <f t="shared" si="50"/>
        <v>Up</v>
      </c>
    </row>
    <row r="258" spans="1:46" x14ac:dyDescent="0.2">
      <c r="A258" s="226" t="s">
        <v>203</v>
      </c>
      <c r="B258" s="9" t="s">
        <v>495</v>
      </c>
      <c r="C258" s="9" t="s">
        <v>495</v>
      </c>
      <c r="D258" s="9" t="s">
        <v>495</v>
      </c>
      <c r="E258" s="9"/>
      <c r="F258" s="9">
        <v>0</v>
      </c>
      <c r="G258" s="83">
        <v>16831</v>
      </c>
      <c r="H258" s="83">
        <f t="shared" si="46"/>
        <v>12625</v>
      </c>
      <c r="I258" s="133">
        <f t="shared" si="47"/>
        <v>0.75009999999999999</v>
      </c>
      <c r="J258" s="82"/>
      <c r="K258" s="82"/>
      <c r="L258" s="82"/>
      <c r="M258" s="82"/>
      <c r="N258" s="82"/>
      <c r="O258" s="82"/>
      <c r="P258" s="82">
        <v>8415</v>
      </c>
      <c r="Q258" s="82"/>
      <c r="R258" s="82"/>
      <c r="S258" s="23"/>
      <c r="T258" s="23"/>
      <c r="U258" s="23"/>
      <c r="V258" s="7" t="s">
        <v>683</v>
      </c>
      <c r="W258" s="82">
        <f t="shared" si="48"/>
        <v>4206</v>
      </c>
      <c r="Y258" s="4"/>
      <c r="Z258" s="4"/>
      <c r="AA258" s="82"/>
      <c r="AB258" s="82">
        <v>4210</v>
      </c>
      <c r="AC258" s="82"/>
      <c r="AD258" s="23"/>
      <c r="AE258" s="7" t="s">
        <v>439</v>
      </c>
      <c r="AH258" s="23">
        <f>SUM('2021 Detail'!J250:U250)+SUM('2021 Detail'!AA250)</f>
        <v>13875</v>
      </c>
      <c r="AJ258" s="23">
        <f t="shared" si="49"/>
        <v>-1250</v>
      </c>
      <c r="AL258" t="str">
        <f t="shared" si="50"/>
        <v>Down</v>
      </c>
    </row>
    <row r="259" spans="1:46" x14ac:dyDescent="0.2">
      <c r="A259" s="226" t="s">
        <v>204</v>
      </c>
      <c r="B259" s="9" t="s">
        <v>495</v>
      </c>
      <c r="C259" s="9">
        <v>0</v>
      </c>
      <c r="D259" s="9" t="s">
        <v>495</v>
      </c>
      <c r="E259" s="9"/>
      <c r="F259" s="9" t="s">
        <v>495</v>
      </c>
      <c r="G259" s="83">
        <v>10099</v>
      </c>
      <c r="H259" s="83">
        <f t="shared" si="46"/>
        <v>7000</v>
      </c>
      <c r="I259" s="133">
        <f t="shared" si="47"/>
        <v>0.69310000000000005</v>
      </c>
      <c r="J259" s="82">
        <v>500</v>
      </c>
      <c r="K259" s="82">
        <v>500</v>
      </c>
      <c r="L259" s="82">
        <v>600</v>
      </c>
      <c r="M259" s="82">
        <v>600</v>
      </c>
      <c r="N259" s="82">
        <v>600</v>
      </c>
      <c r="O259" s="82">
        <v>600</v>
      </c>
      <c r="P259" s="82">
        <v>600</v>
      </c>
      <c r="Q259" s="82">
        <v>600</v>
      </c>
      <c r="R259" s="82">
        <v>600</v>
      </c>
      <c r="S259" s="23">
        <v>600</v>
      </c>
      <c r="T259" s="23">
        <v>600</v>
      </c>
      <c r="U259" s="23">
        <v>600</v>
      </c>
      <c r="V259" s="7" t="s">
        <v>684</v>
      </c>
      <c r="W259" s="82">
        <f t="shared" si="48"/>
        <v>3099</v>
      </c>
      <c r="Y259" s="4"/>
      <c r="Z259" s="4"/>
      <c r="AA259" s="82"/>
      <c r="AB259" s="82"/>
      <c r="AC259" s="82"/>
      <c r="AD259" s="23"/>
      <c r="AE259" s="7" t="s">
        <v>439</v>
      </c>
      <c r="AH259" s="23">
        <f>SUM('2021 Detail'!J251:U251)+SUM('2021 Detail'!AA251)</f>
        <v>6000</v>
      </c>
      <c r="AJ259" s="23">
        <f t="shared" si="49"/>
        <v>1000</v>
      </c>
      <c r="AL259" t="str">
        <f t="shared" si="50"/>
        <v>Up</v>
      </c>
      <c r="AQ259" s="23">
        <v>500</v>
      </c>
    </row>
    <row r="260" spans="1:46" x14ac:dyDescent="0.2">
      <c r="A260" s="226" t="s">
        <v>205</v>
      </c>
      <c r="B260" s="9" t="s">
        <v>495</v>
      </c>
      <c r="C260" s="9">
        <v>0</v>
      </c>
      <c r="D260" s="9">
        <v>0</v>
      </c>
      <c r="E260" s="9"/>
      <c r="F260" s="9" t="s">
        <v>495</v>
      </c>
      <c r="G260" s="83">
        <v>6733</v>
      </c>
      <c r="H260" s="83">
        <f t="shared" si="46"/>
        <v>5049</v>
      </c>
      <c r="I260" s="133">
        <f t="shared" si="47"/>
        <v>0.74990000000000001</v>
      </c>
      <c r="J260" s="82">
        <v>200</v>
      </c>
      <c r="K260" s="82">
        <v>200</v>
      </c>
      <c r="L260" s="82">
        <v>200</v>
      </c>
      <c r="M260" s="82">
        <v>200</v>
      </c>
      <c r="N260" s="82">
        <v>200</v>
      </c>
      <c r="O260" s="82">
        <v>200</v>
      </c>
      <c r="P260" s="82">
        <v>200</v>
      </c>
      <c r="Q260" s="82">
        <v>200</v>
      </c>
      <c r="R260" s="82">
        <v>200</v>
      </c>
      <c r="S260" s="23">
        <v>200</v>
      </c>
      <c r="T260" s="23">
        <v>200</v>
      </c>
      <c r="U260" s="23">
        <v>2849</v>
      </c>
      <c r="V260" s="7" t="s">
        <v>685</v>
      </c>
      <c r="W260" s="82">
        <f t="shared" si="48"/>
        <v>1684</v>
      </c>
      <c r="Y260" s="4"/>
      <c r="Z260" s="4"/>
      <c r="AA260" s="82"/>
      <c r="AB260" s="82"/>
      <c r="AC260" s="82"/>
      <c r="AD260" s="23"/>
      <c r="AE260" s="7" t="s">
        <v>439</v>
      </c>
      <c r="AH260" s="23">
        <f>SUM('2021 Detail'!J252:U252)+SUM('2021 Detail'!AA252)</f>
        <v>5049</v>
      </c>
      <c r="AJ260" s="23">
        <f t="shared" si="49"/>
        <v>0</v>
      </c>
      <c r="AL260" t="str">
        <f t="shared" si="50"/>
        <v>Same</v>
      </c>
      <c r="AQ260" s="23">
        <v>2849</v>
      </c>
    </row>
    <row r="261" spans="1:46" x14ac:dyDescent="0.2">
      <c r="A261" s="226" t="s">
        <v>206</v>
      </c>
      <c r="B261" s="9" t="s">
        <v>495</v>
      </c>
      <c r="C261" s="9" t="s">
        <v>495</v>
      </c>
      <c r="D261" s="9">
        <v>0</v>
      </c>
      <c r="E261" s="9"/>
      <c r="F261" s="9">
        <v>0</v>
      </c>
      <c r="G261" s="83">
        <v>27039</v>
      </c>
      <c r="H261" s="83">
        <f t="shared" si="46"/>
        <v>23679</v>
      </c>
      <c r="I261" s="133">
        <f t="shared" si="47"/>
        <v>0.87570000000000003</v>
      </c>
      <c r="J261" s="82">
        <v>1128</v>
      </c>
      <c r="K261" s="82">
        <v>2255</v>
      </c>
      <c r="L261" s="82">
        <v>2255</v>
      </c>
      <c r="M261" s="82">
        <v>2255</v>
      </c>
      <c r="N261" s="82">
        <v>2255</v>
      </c>
      <c r="O261" s="82">
        <v>2255</v>
      </c>
      <c r="P261" s="82">
        <v>2255</v>
      </c>
      <c r="Q261" s="82">
        <v>2255</v>
      </c>
      <c r="R261" s="82">
        <v>2255</v>
      </c>
      <c r="S261" s="23">
        <v>1128</v>
      </c>
      <c r="T261" s="23"/>
      <c r="U261" s="82">
        <v>3383</v>
      </c>
      <c r="V261" s="7" t="s">
        <v>686</v>
      </c>
      <c r="W261" s="82">
        <f t="shared" si="48"/>
        <v>3360</v>
      </c>
      <c r="Y261" s="4"/>
      <c r="Z261" s="4"/>
      <c r="AA261" s="82"/>
      <c r="AB261" s="82"/>
      <c r="AC261" s="82"/>
      <c r="AD261" s="23"/>
      <c r="AE261" s="7" t="s">
        <v>440</v>
      </c>
      <c r="AH261" s="23">
        <f>SUM('2021 Detail'!J253:U253)+SUM('2021 Detail'!AA253)</f>
        <v>28539</v>
      </c>
      <c r="AJ261" s="23">
        <f t="shared" si="49"/>
        <v>-4860</v>
      </c>
      <c r="AL261" t="str">
        <f t="shared" si="50"/>
        <v>Down</v>
      </c>
      <c r="AQ261" s="23">
        <v>2811</v>
      </c>
    </row>
    <row r="262" spans="1:46" x14ac:dyDescent="0.2">
      <c r="B262" s="9"/>
      <c r="C262" s="9"/>
      <c r="I262" s="133"/>
      <c r="Y262" s="4"/>
      <c r="Z262" s="4"/>
      <c r="AA262" s="82"/>
      <c r="AB262" s="82"/>
      <c r="AC262" s="82"/>
      <c r="AD262" s="23"/>
      <c r="AJ262" s="23"/>
    </row>
    <row r="263" spans="1:46" x14ac:dyDescent="0.2">
      <c r="A263" s="226" t="s">
        <v>1142</v>
      </c>
      <c r="B263" s="9"/>
      <c r="C263" s="9"/>
      <c r="G263" s="83">
        <f>SUM(G230:G262)</f>
        <v>773493</v>
      </c>
      <c r="H263" s="83">
        <f>SUM(H230:H262)</f>
        <v>592169.82000000007</v>
      </c>
      <c r="I263" s="133">
        <f t="shared" ref="I263:I264" si="51">ROUND((H263/G263),4)</f>
        <v>0.76559999999999995</v>
      </c>
      <c r="J263" s="83">
        <f>SUM(J230:J262)</f>
        <v>22818.739999999998</v>
      </c>
      <c r="K263" s="83">
        <f t="shared" ref="K263:W263" si="52">SUM(K230:K262)</f>
        <v>37149.660000000003</v>
      </c>
      <c r="L263" s="83">
        <f t="shared" si="52"/>
        <v>41178.160000000003</v>
      </c>
      <c r="M263" s="83">
        <f t="shared" si="52"/>
        <v>35818.410000000003</v>
      </c>
      <c r="N263" s="83">
        <f t="shared" si="52"/>
        <v>33066.660000000003</v>
      </c>
      <c r="O263" s="83">
        <f t="shared" si="52"/>
        <v>53716.91</v>
      </c>
      <c r="P263" s="83">
        <f t="shared" si="52"/>
        <v>50831.74</v>
      </c>
      <c r="Q263" s="83">
        <f t="shared" si="52"/>
        <v>59816.740000000005</v>
      </c>
      <c r="R263" s="83">
        <f t="shared" si="52"/>
        <v>60716.740000000005</v>
      </c>
      <c r="S263" s="4">
        <f t="shared" si="52"/>
        <v>42339.740000000005</v>
      </c>
      <c r="T263" s="4">
        <f t="shared" si="52"/>
        <v>48975.66</v>
      </c>
      <c r="U263" s="4">
        <f t="shared" si="52"/>
        <v>95013.66</v>
      </c>
      <c r="V263" s="77"/>
      <c r="W263" s="82">
        <f t="shared" si="52"/>
        <v>181323.18</v>
      </c>
      <c r="Y263" s="4"/>
      <c r="Z263" s="4"/>
      <c r="AA263" s="83">
        <f>SUM(AA230:AA262)</f>
        <v>1517</v>
      </c>
      <c r="AB263" s="83">
        <f t="shared" ref="AB263:AC263" si="53">SUM(AB230:AB262)</f>
        <v>9210</v>
      </c>
      <c r="AC263" s="83">
        <f t="shared" si="53"/>
        <v>0</v>
      </c>
      <c r="AD263" s="4"/>
      <c r="AH263" s="23">
        <f>SUM(AH230:AH262)</f>
        <v>574739.24</v>
      </c>
      <c r="AJ263" s="23">
        <f t="shared" si="49"/>
        <v>17430.580000000075</v>
      </c>
      <c r="AM263" s="11">
        <f>SUM(J263:R263)+SUM(S264:U264)+SUM('2020 detail'!AA254:AC254)</f>
        <v>604981.46</v>
      </c>
      <c r="AN263" s="24">
        <f>ROUND((AM263/G263),4)</f>
        <v>0.78210000000000002</v>
      </c>
      <c r="AO263" s="24">
        <f>ROUND((SUM(J264:U264)/G264),4)</f>
        <v>0.73460000000000003</v>
      </c>
      <c r="AQ263" s="23">
        <f>SUM(AQ230:AQ262)</f>
        <v>92144.38</v>
      </c>
      <c r="AS263">
        <f>-SUM(AS231:AS262)</f>
        <v>-8396</v>
      </c>
      <c r="AT263" s="23">
        <f>W263+AS263</f>
        <v>172927.18</v>
      </c>
    </row>
    <row r="264" spans="1:46" x14ac:dyDescent="0.2">
      <c r="A264" s="253" t="s">
        <v>1056</v>
      </c>
      <c r="B264" s="9"/>
      <c r="C264" s="9"/>
      <c r="G264" s="206">
        <f>'2021 Detail'!G255</f>
        <v>773488</v>
      </c>
      <c r="H264" s="206">
        <f>SUM(J264:U264)+SUM(AA264:AC264)</f>
        <v>577484.24000000011</v>
      </c>
      <c r="I264" s="207">
        <f t="shared" si="51"/>
        <v>0.74660000000000004</v>
      </c>
      <c r="J264" s="206">
        <f>'2021 Detail'!J255</f>
        <v>22321.9</v>
      </c>
      <c r="K264" s="206">
        <f>'2021 Detail'!K255</f>
        <v>27398.9</v>
      </c>
      <c r="L264" s="206">
        <f>'2021 Detail'!L255</f>
        <v>33748.82</v>
      </c>
      <c r="M264" s="206">
        <f>'2021 Detail'!M255</f>
        <v>47673.82</v>
      </c>
      <c r="N264" s="206">
        <f>'2021 Detail'!N255</f>
        <v>40655.82</v>
      </c>
      <c r="O264" s="206">
        <f>'2021 Detail'!O255</f>
        <v>43273.82</v>
      </c>
      <c r="P264" s="206">
        <f>'2021 Detail'!P255</f>
        <v>55615.82</v>
      </c>
      <c r="Q264" s="206">
        <f>'2021 Detail'!Q255</f>
        <v>43143.82</v>
      </c>
      <c r="R264" s="206">
        <f>'2021 Detail'!R255</f>
        <v>44538.82</v>
      </c>
      <c r="S264" s="206">
        <f>'2021 Detail'!S255</f>
        <v>37249.160000000003</v>
      </c>
      <c r="T264" s="206">
        <f>'2021 Detail'!T255</f>
        <v>80474.16</v>
      </c>
      <c r="U264" s="206">
        <f>'2021 Detail'!U255</f>
        <v>92144.38</v>
      </c>
      <c r="V264" s="206"/>
      <c r="W264" s="206"/>
      <c r="X264" s="206"/>
      <c r="Y264" s="4"/>
      <c r="Z264" s="4"/>
      <c r="AA264" s="206">
        <f>'2021 Detail'!AA255</f>
        <v>6500</v>
      </c>
      <c r="AB264" s="206">
        <f>'2021 Detail'!AB255</f>
        <v>2745</v>
      </c>
      <c r="AC264" s="206">
        <f>'2021 Detail'!AC255</f>
        <v>0</v>
      </c>
      <c r="AJ264" s="23"/>
    </row>
    <row r="265" spans="1:46" x14ac:dyDescent="0.2">
      <c r="B265" s="9"/>
      <c r="C265" s="9"/>
      <c r="Y265" s="4"/>
      <c r="Z265" s="4"/>
      <c r="AJ265" s="23"/>
    </row>
    <row r="266" spans="1:46" x14ac:dyDescent="0.2">
      <c r="A266" s="226" t="str">
        <f t="shared" ref="A266:U266" si="54">A$510</f>
        <v>Diocesan Total 2022</v>
      </c>
      <c r="B266" s="226">
        <f t="shared" si="54"/>
        <v>0</v>
      </c>
      <c r="C266" s="226">
        <f t="shared" si="54"/>
        <v>0</v>
      </c>
      <c r="D266" s="258">
        <f t="shared" si="54"/>
        <v>0</v>
      </c>
      <c r="E266" s="226">
        <f t="shared" si="54"/>
        <v>0</v>
      </c>
      <c r="F266" s="226">
        <f t="shared" si="54"/>
        <v>0</v>
      </c>
      <c r="G266" s="83">
        <f t="shared" si="54"/>
        <v>8116012</v>
      </c>
      <c r="H266" s="83">
        <f t="shared" si="54"/>
        <v>6559332.3399999999</v>
      </c>
      <c r="I266" s="133">
        <f t="shared" si="54"/>
        <v>0.80820000000000003</v>
      </c>
      <c r="J266" s="83">
        <f t="shared" si="54"/>
        <v>378351.23</v>
      </c>
      <c r="K266" s="83">
        <f t="shared" si="54"/>
        <v>449442.02</v>
      </c>
      <c r="L266" s="83">
        <f t="shared" si="54"/>
        <v>517036.34</v>
      </c>
      <c r="M266" s="83">
        <f t="shared" si="54"/>
        <v>434875.54000000004</v>
      </c>
      <c r="N266" s="83">
        <f t="shared" si="54"/>
        <v>497786.23</v>
      </c>
      <c r="O266" s="83">
        <f t="shared" si="54"/>
        <v>599586.94000000006</v>
      </c>
      <c r="P266" s="83">
        <f t="shared" si="54"/>
        <v>498701.35</v>
      </c>
      <c r="Q266" s="83">
        <f t="shared" si="54"/>
        <v>538018.41999999993</v>
      </c>
      <c r="R266" s="83">
        <f t="shared" si="54"/>
        <v>551902.79</v>
      </c>
      <c r="S266" s="4">
        <f t="shared" si="54"/>
        <v>564217.18000000005</v>
      </c>
      <c r="T266" s="4">
        <f t="shared" si="54"/>
        <v>646111.05000000005</v>
      </c>
      <c r="U266" s="4">
        <f t="shared" si="54"/>
        <v>737258.44</v>
      </c>
      <c r="V266" s="77"/>
      <c r="W266" s="82"/>
      <c r="X266" s="4"/>
      <c r="Y266" s="4"/>
      <c r="Z266" s="4"/>
      <c r="AA266" s="83"/>
      <c r="AB266" s="83"/>
      <c r="AC266" s="83"/>
      <c r="AD266" s="4"/>
      <c r="AH266" s="23">
        <f>AH$510</f>
        <v>6554125.29</v>
      </c>
      <c r="AJ266" s="23">
        <f>AJ$510</f>
        <v>5207.0499999998137</v>
      </c>
    </row>
    <row r="267" spans="1:46" x14ac:dyDescent="0.2">
      <c r="A267" s="253" t="str">
        <f t="shared" ref="A267:U267" si="55">A$511</f>
        <v>Diocesan Total 2021</v>
      </c>
      <c r="B267" s="253">
        <f t="shared" si="55"/>
        <v>0</v>
      </c>
      <c r="C267" s="253">
        <f t="shared" si="55"/>
        <v>0</v>
      </c>
      <c r="D267" s="259">
        <f t="shared" si="55"/>
        <v>0</v>
      </c>
      <c r="E267" s="253">
        <f t="shared" si="55"/>
        <v>0</v>
      </c>
      <c r="F267" s="253">
        <f t="shared" si="55"/>
        <v>0</v>
      </c>
      <c r="G267" s="206">
        <f t="shared" si="55"/>
        <v>8132853</v>
      </c>
      <c r="H267" s="206">
        <f t="shared" si="55"/>
        <v>6587993.7700000005</v>
      </c>
      <c r="I267" s="207">
        <f t="shared" si="55"/>
        <v>0.81</v>
      </c>
      <c r="J267" s="206">
        <f t="shared" si="55"/>
        <v>340336.86</v>
      </c>
      <c r="K267" s="206">
        <f t="shared" si="55"/>
        <v>407387.73</v>
      </c>
      <c r="L267" s="206">
        <f t="shared" si="55"/>
        <v>497955.59</v>
      </c>
      <c r="M267" s="206">
        <f t="shared" si="55"/>
        <v>513800.89999999997</v>
      </c>
      <c r="N267" s="206">
        <f t="shared" si="55"/>
        <v>483760.16000000003</v>
      </c>
      <c r="O267" s="206">
        <f t="shared" si="55"/>
        <v>527451.71000000008</v>
      </c>
      <c r="P267" s="206">
        <f t="shared" si="55"/>
        <v>582882.6100000001</v>
      </c>
      <c r="Q267" s="206">
        <f t="shared" si="55"/>
        <v>489302.35</v>
      </c>
      <c r="R267" s="206">
        <f t="shared" si="55"/>
        <v>548459.72</v>
      </c>
      <c r="S267" s="206">
        <f t="shared" si="55"/>
        <v>527708.16999999993</v>
      </c>
      <c r="T267" s="206">
        <f t="shared" si="55"/>
        <v>616975.80999999994</v>
      </c>
      <c r="U267" s="206">
        <f t="shared" si="55"/>
        <v>907302.59</v>
      </c>
      <c r="V267" s="206"/>
      <c r="W267" s="206"/>
      <c r="X267" s="206"/>
      <c r="Y267" s="4"/>
      <c r="Z267" s="4"/>
      <c r="AA267" s="206"/>
      <c r="AB267" s="206"/>
      <c r="AC267" s="206"/>
      <c r="AJ267" s="23"/>
    </row>
    <row r="268" spans="1:46" ht="15.75" x14ac:dyDescent="0.25">
      <c r="G268" s="196" t="s">
        <v>12</v>
      </c>
      <c r="Y268" s="4"/>
      <c r="Z268" s="4"/>
      <c r="AH268" s="171" t="s">
        <v>1136</v>
      </c>
      <c r="AI268" s="172"/>
      <c r="AJ268" s="171" t="s">
        <v>1064</v>
      </c>
    </row>
    <row r="269" spans="1:46" x14ac:dyDescent="0.2">
      <c r="Y269" s="4"/>
      <c r="Z269" s="4"/>
      <c r="AH269" s="171" t="s">
        <v>1137</v>
      </c>
      <c r="AI269" s="172"/>
      <c r="AJ269" s="171" t="s">
        <v>1138</v>
      </c>
    </row>
    <row r="270" spans="1:46" ht="16.5" x14ac:dyDescent="0.25">
      <c r="A270" s="250"/>
      <c r="B270" s="8"/>
      <c r="C270" s="8"/>
      <c r="E270" s="8"/>
      <c r="F270" s="8"/>
      <c r="G270" s="208" t="str">
        <f>$G$3</f>
        <v>2022 PARISH SHARE INFORMATION AS AT 31 DECEMBER 2022</v>
      </c>
      <c r="H270" s="209"/>
      <c r="W270" s="194"/>
      <c r="X270"/>
      <c r="Y270" s="4"/>
      <c r="Z270" s="4"/>
      <c r="AA270"/>
      <c r="AB270"/>
      <c r="AC270"/>
      <c r="AH270" s="172"/>
      <c r="AI270" s="172"/>
      <c r="AJ270" s="171" t="s">
        <v>1139</v>
      </c>
    </row>
    <row r="271" spans="1:46" x14ac:dyDescent="0.2">
      <c r="A271" s="250"/>
      <c r="G271" s="205"/>
      <c r="H271" s="197"/>
      <c r="W271" s="194"/>
      <c r="X271"/>
      <c r="Y271" s="4"/>
      <c r="Z271" s="4"/>
      <c r="AA271"/>
      <c r="AB271"/>
      <c r="AC271"/>
    </row>
    <row r="272" spans="1:46" ht="16.5" x14ac:dyDescent="0.25">
      <c r="A272" s="251" t="s">
        <v>1</v>
      </c>
      <c r="B272" s="151" t="str">
        <f>$B$5</f>
        <v>RM</v>
      </c>
      <c r="C272" s="151" t="str">
        <f>$C$5</f>
        <v>RF</v>
      </c>
      <c r="D272" s="151" t="str">
        <f>$D$5</f>
        <v>Accts</v>
      </c>
      <c r="E272" s="151"/>
      <c r="F272" s="151" t="str">
        <f>$F$5</f>
        <v>Share DD</v>
      </c>
      <c r="G272" s="210" t="str">
        <f>$G$5</f>
        <v xml:space="preserve">2022 Share </v>
      </c>
      <c r="H272" s="211" t="str">
        <f>$H$5</f>
        <v xml:space="preserve">2022 Paid </v>
      </c>
      <c r="I272" s="211" t="str">
        <f>$I$5</f>
        <v xml:space="preserve">% Paid </v>
      </c>
      <c r="J272" s="212">
        <f>$J$5</f>
        <v>44592</v>
      </c>
      <c r="K272" s="212">
        <f>$K$5</f>
        <v>44620</v>
      </c>
      <c r="L272" s="212">
        <f>$L$5</f>
        <v>44651</v>
      </c>
      <c r="M272" s="212">
        <f>$M$5</f>
        <v>44681</v>
      </c>
      <c r="N272" s="212">
        <f>$N$5</f>
        <v>44712</v>
      </c>
      <c r="O272" s="212">
        <f>$O$5</f>
        <v>44742</v>
      </c>
      <c r="P272" s="212">
        <f>$P$5</f>
        <v>44773</v>
      </c>
      <c r="Q272" s="212">
        <f>$Q$5</f>
        <v>44804</v>
      </c>
      <c r="R272" s="212">
        <f>$R$5</f>
        <v>44834</v>
      </c>
      <c r="S272" s="155">
        <f>$S$5</f>
        <v>44865</v>
      </c>
      <c r="T272" s="155">
        <f>$T$5</f>
        <v>44895</v>
      </c>
      <c r="U272" s="155">
        <f>$U$5</f>
        <v>44926</v>
      </c>
      <c r="V272" s="78"/>
      <c r="W272" s="195" t="str">
        <f>$W$5</f>
        <v xml:space="preserve">Outstanding </v>
      </c>
      <c r="X272" s="2"/>
      <c r="Y272" s="4"/>
      <c r="Z272" s="4"/>
      <c r="AA272" s="2">
        <f>$AA$5</f>
        <v>44957</v>
      </c>
      <c r="AB272" s="2">
        <f>$AB$5</f>
        <v>44985</v>
      </c>
      <c r="AC272" s="2">
        <f>$AC$5</f>
        <v>45016</v>
      </c>
      <c r="AE272" s="152" t="str">
        <f>$AE$5</f>
        <v>Benefice</v>
      </c>
      <c r="AH272" s="16" t="s">
        <v>1141</v>
      </c>
      <c r="AJ272" s="170" t="s">
        <v>1140</v>
      </c>
      <c r="AQ272" s="222">
        <f>AQ5</f>
        <v>44588</v>
      </c>
    </row>
    <row r="273" spans="1:43" ht="16.5" x14ac:dyDescent="0.25">
      <c r="A273" s="250"/>
      <c r="G273" s="201" t="s">
        <v>1040</v>
      </c>
      <c r="H273" s="202" t="s">
        <v>1040</v>
      </c>
      <c r="I273" s="203"/>
      <c r="J273" s="202" t="s">
        <v>1040</v>
      </c>
      <c r="K273" s="202" t="s">
        <v>1040</v>
      </c>
      <c r="L273" s="202" t="s">
        <v>1040</v>
      </c>
      <c r="M273" s="202" t="s">
        <v>1040</v>
      </c>
      <c r="N273" s="202" t="s">
        <v>1040</v>
      </c>
      <c r="O273" s="202" t="s">
        <v>1040</v>
      </c>
      <c r="P273" s="202" t="s">
        <v>1040</v>
      </c>
      <c r="Q273" s="202" t="s">
        <v>1040</v>
      </c>
      <c r="R273" s="202" t="s">
        <v>1040</v>
      </c>
      <c r="S273" s="147" t="s">
        <v>1040</v>
      </c>
      <c r="T273" s="147" t="s">
        <v>1040</v>
      </c>
      <c r="U273" s="147" t="s">
        <v>1040</v>
      </c>
      <c r="W273" s="194"/>
      <c r="X273"/>
      <c r="Y273" s="4"/>
      <c r="Z273" s="4"/>
      <c r="AA273"/>
      <c r="AB273"/>
      <c r="AC273"/>
      <c r="AJ273" s="23"/>
    </row>
    <row r="274" spans="1:43" x14ac:dyDescent="0.2">
      <c r="Y274" s="4"/>
      <c r="Z274" s="4"/>
      <c r="AJ274" s="23"/>
    </row>
    <row r="275" spans="1:43" x14ac:dyDescent="0.2">
      <c r="A275" s="226" t="s">
        <v>207</v>
      </c>
      <c r="B275" s="9" t="s">
        <v>495</v>
      </c>
      <c r="C275" s="9">
        <v>0</v>
      </c>
      <c r="D275" s="9">
        <v>0</v>
      </c>
      <c r="E275" s="9"/>
      <c r="F275" s="9">
        <v>0</v>
      </c>
      <c r="G275" s="83">
        <v>137836</v>
      </c>
      <c r="H275" s="83">
        <f t="shared" ref="H275:H298" si="56">SUM(J275:U275)+SUM(AA275:AC275)</f>
        <v>137836</v>
      </c>
      <c r="I275" s="133">
        <f t="shared" ref="I275:I298" si="57">ROUND((H275/G275),4)</f>
        <v>1</v>
      </c>
      <c r="J275" s="82"/>
      <c r="K275" s="82">
        <v>22976</v>
      </c>
      <c r="L275" s="82"/>
      <c r="M275" s="82">
        <v>22976</v>
      </c>
      <c r="N275" s="82">
        <v>11485.5</v>
      </c>
      <c r="O275" s="82">
        <v>11485.5</v>
      </c>
      <c r="P275" s="82">
        <v>11485.5</v>
      </c>
      <c r="Q275" s="82">
        <v>11485.5</v>
      </c>
      <c r="R275" s="82">
        <v>11485.5</v>
      </c>
      <c r="S275" s="23">
        <v>11485.5</v>
      </c>
      <c r="T275" s="23">
        <v>11485.5</v>
      </c>
      <c r="U275" s="23">
        <v>11485.5</v>
      </c>
      <c r="V275" s="79" t="s">
        <v>687</v>
      </c>
      <c r="W275" s="82">
        <f t="shared" ref="W275:W298" si="58">G275-H275</f>
        <v>0</v>
      </c>
      <c r="Y275" s="4"/>
      <c r="Z275" s="4"/>
      <c r="AA275" s="82"/>
      <c r="AB275" s="82"/>
      <c r="AC275" s="82"/>
      <c r="AE275" s="7" t="s">
        <v>441</v>
      </c>
      <c r="AH275" s="23">
        <f>SUM('2021 Detail'!J265:U265)+SUM('2021 Detail'!AA265)</f>
        <v>137352</v>
      </c>
      <c r="AJ275" s="23">
        <f t="shared" ref="AJ275:AJ342" si="59">H275-AH275</f>
        <v>484</v>
      </c>
      <c r="AL275" t="str">
        <f t="shared" ref="AL275:AL298" si="60">IF(AJ275&lt;0,"Down",IF(AJ275&gt;0,"Up","Same"))</f>
        <v>Up</v>
      </c>
      <c r="AQ275" s="23">
        <v>11446</v>
      </c>
    </row>
    <row r="276" spans="1:43" x14ac:dyDescent="0.2">
      <c r="A276" s="226" t="s">
        <v>208</v>
      </c>
      <c r="B276" s="9" t="s">
        <v>495</v>
      </c>
      <c r="C276" s="9" t="s">
        <v>495</v>
      </c>
      <c r="D276" s="9" t="s">
        <v>495</v>
      </c>
      <c r="E276" s="9"/>
      <c r="F276" s="9">
        <v>0</v>
      </c>
      <c r="G276" s="83">
        <v>14960</v>
      </c>
      <c r="H276" s="83">
        <f t="shared" si="56"/>
        <v>14960</v>
      </c>
      <c r="I276" s="133">
        <f t="shared" si="57"/>
        <v>1</v>
      </c>
      <c r="J276" s="82">
        <v>95</v>
      </c>
      <c r="K276" s="82">
        <v>1000</v>
      </c>
      <c r="L276" s="82">
        <v>2000</v>
      </c>
      <c r="M276" s="82"/>
      <c r="N276" s="82">
        <v>1000</v>
      </c>
      <c r="O276" s="82">
        <v>1000</v>
      </c>
      <c r="P276" s="82"/>
      <c r="Q276" s="82">
        <v>1000</v>
      </c>
      <c r="R276" s="82">
        <v>1000</v>
      </c>
      <c r="S276" s="23"/>
      <c r="T276" s="23"/>
      <c r="U276" s="23">
        <v>3000</v>
      </c>
      <c r="V276" s="79" t="s">
        <v>688</v>
      </c>
      <c r="W276" s="82">
        <f t="shared" si="58"/>
        <v>0</v>
      </c>
      <c r="Y276" s="4"/>
      <c r="Z276" s="4"/>
      <c r="AA276" s="82">
        <v>4865</v>
      </c>
      <c r="AB276" s="82"/>
      <c r="AC276" s="82"/>
      <c r="AD276" s="23"/>
      <c r="AE276" s="7" t="s">
        <v>441</v>
      </c>
      <c r="AH276" s="23">
        <f>SUM('2021 Detail'!J266:U266)+SUM('2021 Detail'!AA266)</f>
        <v>14960</v>
      </c>
      <c r="AJ276" s="23">
        <f t="shared" si="59"/>
        <v>0</v>
      </c>
      <c r="AL276" t="str">
        <f t="shared" si="60"/>
        <v>Same</v>
      </c>
      <c r="AQ276" s="23">
        <v>3000</v>
      </c>
    </row>
    <row r="277" spans="1:43" x14ac:dyDescent="0.2">
      <c r="A277" s="226" t="s">
        <v>209</v>
      </c>
      <c r="B277" s="9" t="s">
        <v>495</v>
      </c>
      <c r="C277" s="9" t="s">
        <v>495</v>
      </c>
      <c r="D277" s="9">
        <v>0</v>
      </c>
      <c r="E277" s="9"/>
      <c r="F277" s="9" t="s">
        <v>495</v>
      </c>
      <c r="G277" s="83">
        <v>6924</v>
      </c>
      <c r="H277" s="83">
        <f t="shared" si="56"/>
        <v>6924</v>
      </c>
      <c r="I277" s="133">
        <f t="shared" si="57"/>
        <v>1</v>
      </c>
      <c r="J277" s="82">
        <v>577</v>
      </c>
      <c r="K277" s="82">
        <v>577</v>
      </c>
      <c r="L277" s="82">
        <v>577</v>
      </c>
      <c r="M277" s="82">
        <v>577</v>
      </c>
      <c r="N277" s="82">
        <v>577</v>
      </c>
      <c r="O277" s="82">
        <v>577</v>
      </c>
      <c r="P277" s="82">
        <v>577</v>
      </c>
      <c r="Q277" s="82">
        <v>577</v>
      </c>
      <c r="R277" s="82">
        <v>577</v>
      </c>
      <c r="S277" s="23">
        <v>577</v>
      </c>
      <c r="T277" s="23">
        <v>577</v>
      </c>
      <c r="U277" s="23">
        <v>577</v>
      </c>
      <c r="V277" s="79" t="s">
        <v>689</v>
      </c>
      <c r="W277" s="82">
        <f t="shared" si="58"/>
        <v>0</v>
      </c>
      <c r="Y277" s="4"/>
      <c r="Z277" s="4"/>
      <c r="AA277" s="82"/>
      <c r="AB277" s="82"/>
      <c r="AC277" s="82"/>
      <c r="AD277" s="23"/>
      <c r="AE277" s="7" t="s">
        <v>445</v>
      </c>
      <c r="AH277" s="23">
        <f>SUM('2021 Detail'!J267:U267)+SUM('2021 Detail'!AA267)</f>
        <v>6765.5</v>
      </c>
      <c r="AJ277" s="23">
        <f t="shared" si="59"/>
        <v>158.5</v>
      </c>
      <c r="AL277" t="str">
        <f t="shared" si="60"/>
        <v>Up</v>
      </c>
      <c r="AQ277" s="23">
        <v>577</v>
      </c>
    </row>
    <row r="278" spans="1:43" x14ac:dyDescent="0.2">
      <c r="A278" s="226" t="s">
        <v>210</v>
      </c>
      <c r="B278" s="9" t="s">
        <v>495</v>
      </c>
      <c r="C278" s="9" t="s">
        <v>495</v>
      </c>
      <c r="D278" s="9" t="s">
        <v>495</v>
      </c>
      <c r="E278" s="9"/>
      <c r="F278" s="9" t="s">
        <v>495</v>
      </c>
      <c r="G278" s="83">
        <v>6924</v>
      </c>
      <c r="H278" s="83">
        <f t="shared" si="56"/>
        <v>6924</v>
      </c>
      <c r="I278" s="133">
        <f t="shared" si="57"/>
        <v>1</v>
      </c>
      <c r="J278" s="82">
        <v>500</v>
      </c>
      <c r="K278" s="82">
        <v>500</v>
      </c>
      <c r="L278" s="82">
        <v>500</v>
      </c>
      <c r="M278" s="82">
        <v>500</v>
      </c>
      <c r="N278" s="82">
        <v>500</v>
      </c>
      <c r="O278" s="82">
        <v>500</v>
      </c>
      <c r="P278" s="82">
        <v>500</v>
      </c>
      <c r="Q278" s="82">
        <v>500</v>
      </c>
      <c r="R278" s="82">
        <v>500</v>
      </c>
      <c r="S278" s="23">
        <v>500</v>
      </c>
      <c r="T278" s="23">
        <v>1424</v>
      </c>
      <c r="U278" s="23">
        <v>500</v>
      </c>
      <c r="V278" s="79" t="s">
        <v>690</v>
      </c>
      <c r="W278" s="82">
        <f t="shared" si="58"/>
        <v>0</v>
      </c>
      <c r="Y278" s="4"/>
      <c r="Z278" s="4"/>
      <c r="AA278" s="82"/>
      <c r="AB278" s="82"/>
      <c r="AC278" s="82"/>
      <c r="AD278" s="23"/>
      <c r="AE278" s="7" t="s">
        <v>445</v>
      </c>
      <c r="AH278" s="23">
        <f>SUM('2021 Detail'!J268:U268)+SUM('2021 Detail'!AA268)</f>
        <v>6923.8</v>
      </c>
      <c r="AJ278" s="23">
        <f t="shared" si="59"/>
        <v>0.1999999999998181</v>
      </c>
      <c r="AL278" t="str">
        <f t="shared" si="60"/>
        <v>Up</v>
      </c>
      <c r="AQ278" s="23">
        <v>1423.8</v>
      </c>
    </row>
    <row r="279" spans="1:43" x14ac:dyDescent="0.2">
      <c r="A279" s="226" t="s">
        <v>211</v>
      </c>
      <c r="B279" s="9" t="s">
        <v>495</v>
      </c>
      <c r="C279" s="9" t="s">
        <v>495</v>
      </c>
      <c r="D279" s="9" t="s">
        <v>495</v>
      </c>
      <c r="E279" s="9"/>
      <c r="F279" s="9" t="s">
        <v>495</v>
      </c>
      <c r="G279" s="83">
        <v>4847</v>
      </c>
      <c r="H279" s="83">
        <f t="shared" si="56"/>
        <v>4847</v>
      </c>
      <c r="I279" s="133">
        <f t="shared" si="57"/>
        <v>1</v>
      </c>
      <c r="J279" s="82">
        <v>403.87</v>
      </c>
      <c r="K279" s="82">
        <v>403.93</v>
      </c>
      <c r="L279" s="82">
        <v>403.92</v>
      </c>
      <c r="M279" s="82">
        <v>403.92</v>
      </c>
      <c r="N279" s="82">
        <v>403.92</v>
      </c>
      <c r="O279" s="82">
        <v>403.92</v>
      </c>
      <c r="P279" s="82">
        <v>403.92</v>
      </c>
      <c r="Q279" s="82">
        <v>403.92</v>
      </c>
      <c r="R279" s="82">
        <v>403.92</v>
      </c>
      <c r="S279" s="23">
        <v>403.92</v>
      </c>
      <c r="T279" s="23">
        <v>403.92</v>
      </c>
      <c r="U279" s="23">
        <v>403.92</v>
      </c>
      <c r="V279" s="79" t="s">
        <v>691</v>
      </c>
      <c r="W279" s="82">
        <f t="shared" si="58"/>
        <v>0</v>
      </c>
      <c r="Y279" s="4"/>
      <c r="Z279" s="4"/>
      <c r="AA279" s="82"/>
      <c r="AB279" s="82"/>
      <c r="AC279" s="82"/>
      <c r="AD279" s="23"/>
      <c r="AE279" s="7" t="s">
        <v>445</v>
      </c>
      <c r="AH279" s="23">
        <f>SUM('2021 Detail'!J269:U269)+SUM('2021 Detail'!AA269)</f>
        <v>4846</v>
      </c>
      <c r="AJ279" s="23">
        <f t="shared" si="59"/>
        <v>1</v>
      </c>
      <c r="AL279" t="str">
        <f t="shared" si="60"/>
        <v>Up</v>
      </c>
      <c r="AQ279" s="23">
        <v>403.83</v>
      </c>
    </row>
    <row r="280" spans="1:43" x14ac:dyDescent="0.2">
      <c r="A280" s="226" t="s">
        <v>212</v>
      </c>
      <c r="B280" s="9" t="s">
        <v>495</v>
      </c>
      <c r="C280" s="9" t="s">
        <v>495</v>
      </c>
      <c r="D280" s="9" t="s">
        <v>495</v>
      </c>
      <c r="E280" s="9"/>
      <c r="F280" s="9">
        <v>0</v>
      </c>
      <c r="G280" s="83">
        <v>35889</v>
      </c>
      <c r="H280" s="83">
        <f t="shared" si="56"/>
        <v>30000</v>
      </c>
      <c r="I280" s="133">
        <f t="shared" si="57"/>
        <v>0.83589999999999998</v>
      </c>
      <c r="J280" s="82">
        <v>3000</v>
      </c>
      <c r="K280" s="82">
        <v>3000</v>
      </c>
      <c r="L280" s="82">
        <v>3000</v>
      </c>
      <c r="M280" s="82">
        <v>3000</v>
      </c>
      <c r="N280" s="82">
        <v>3000</v>
      </c>
      <c r="O280" s="82">
        <v>3000</v>
      </c>
      <c r="P280" s="82">
        <v>3000</v>
      </c>
      <c r="Q280" s="82">
        <v>3000</v>
      </c>
      <c r="R280" s="82">
        <v>3000</v>
      </c>
      <c r="S280" s="23"/>
      <c r="T280" s="23">
        <v>3000</v>
      </c>
      <c r="U280" s="23"/>
      <c r="V280" s="79" t="s">
        <v>692</v>
      </c>
      <c r="W280" s="82">
        <f t="shared" si="58"/>
        <v>5889</v>
      </c>
      <c r="Y280" s="4"/>
      <c r="Z280" s="4"/>
      <c r="AA280" s="82"/>
      <c r="AB280" s="82"/>
      <c r="AC280" s="82"/>
      <c r="AD280" s="23"/>
      <c r="AE280" s="7" t="s">
        <v>442</v>
      </c>
      <c r="AH280" s="23">
        <f>SUM('2021 Detail'!J270:U270)+SUM('2021 Detail'!AA270)</f>
        <v>27000</v>
      </c>
      <c r="AJ280" s="23">
        <f t="shared" si="59"/>
        <v>3000</v>
      </c>
      <c r="AL280" t="str">
        <f t="shared" si="60"/>
        <v>Up</v>
      </c>
      <c r="AQ280" s="23">
        <v>3000</v>
      </c>
    </row>
    <row r="281" spans="1:43" x14ac:dyDescent="0.2">
      <c r="A281" s="226" t="s">
        <v>213</v>
      </c>
      <c r="B281" s="9" t="s">
        <v>495</v>
      </c>
      <c r="C281" s="9" t="s">
        <v>495</v>
      </c>
      <c r="D281" s="9" t="s">
        <v>495</v>
      </c>
      <c r="E281" s="9"/>
      <c r="F281" s="9" t="s">
        <v>495</v>
      </c>
      <c r="G281" s="83">
        <v>15528</v>
      </c>
      <c r="H281" s="83">
        <f t="shared" si="56"/>
        <v>15529</v>
      </c>
      <c r="I281" s="133">
        <f t="shared" si="57"/>
        <v>1.0001</v>
      </c>
      <c r="J281" s="82">
        <v>500</v>
      </c>
      <c r="K281" s="82">
        <v>500</v>
      </c>
      <c r="L281" s="82">
        <v>2000</v>
      </c>
      <c r="M281" s="82">
        <v>500</v>
      </c>
      <c r="N281" s="82">
        <v>2500</v>
      </c>
      <c r="O281" s="82">
        <v>500</v>
      </c>
      <c r="P281" s="82">
        <v>3000</v>
      </c>
      <c r="Q281" s="82">
        <v>500</v>
      </c>
      <c r="R281" s="82">
        <v>500</v>
      </c>
      <c r="S281" s="23">
        <v>2500</v>
      </c>
      <c r="T281" s="23">
        <v>500</v>
      </c>
      <c r="U281" s="23">
        <v>2029</v>
      </c>
      <c r="V281" s="79" t="s">
        <v>693</v>
      </c>
      <c r="W281" s="82">
        <f t="shared" si="58"/>
        <v>-1</v>
      </c>
      <c r="Y281" s="4"/>
      <c r="Z281" s="4"/>
      <c r="AA281" s="82"/>
      <c r="AB281" s="82"/>
      <c r="AC281" s="82"/>
      <c r="AD281" s="23"/>
      <c r="AE281" s="7" t="s">
        <v>451</v>
      </c>
      <c r="AH281" s="23">
        <f>SUM('2021 Detail'!J271:U271)+SUM('2021 Detail'!AA271)</f>
        <v>12700</v>
      </c>
      <c r="AJ281" s="23">
        <f t="shared" si="59"/>
        <v>2829</v>
      </c>
      <c r="AL281" t="str">
        <f t="shared" si="60"/>
        <v>Up</v>
      </c>
      <c r="AQ281" s="23">
        <v>1200</v>
      </c>
    </row>
    <row r="282" spans="1:43" x14ac:dyDescent="0.2">
      <c r="A282" s="226" t="s">
        <v>214</v>
      </c>
      <c r="B282" s="9" t="s">
        <v>495</v>
      </c>
      <c r="C282" s="9" t="s">
        <v>495</v>
      </c>
      <c r="D282" s="9" t="s">
        <v>495</v>
      </c>
      <c r="E282" s="9"/>
      <c r="F282" s="9">
        <v>0</v>
      </c>
      <c r="G282" s="83">
        <v>29365</v>
      </c>
      <c r="H282" s="83">
        <f t="shared" si="56"/>
        <v>10000</v>
      </c>
      <c r="I282" s="133">
        <f t="shared" si="57"/>
        <v>0.34050000000000002</v>
      </c>
      <c r="J282" s="82"/>
      <c r="K282" s="82"/>
      <c r="L282" s="82"/>
      <c r="M282" s="82"/>
      <c r="N282" s="82"/>
      <c r="O282" s="82"/>
      <c r="P282" s="82"/>
      <c r="Q282" s="82"/>
      <c r="R282" s="82"/>
      <c r="S282" s="23"/>
      <c r="T282" s="23">
        <v>10000</v>
      </c>
      <c r="U282" s="23"/>
      <c r="V282" s="79" t="s">
        <v>694</v>
      </c>
      <c r="W282" s="82">
        <f t="shared" si="58"/>
        <v>19365</v>
      </c>
      <c r="Y282" s="4"/>
      <c r="Z282" s="4"/>
      <c r="AA282" s="82"/>
      <c r="AB282" s="82"/>
      <c r="AC282" s="82"/>
      <c r="AD282" s="23"/>
      <c r="AE282" s="7" t="s">
        <v>442</v>
      </c>
      <c r="AH282" s="23">
        <f>SUM('2021 Detail'!J272:U272)+SUM('2021 Detail'!AA272)</f>
        <v>4000</v>
      </c>
      <c r="AJ282" s="23">
        <f t="shared" si="59"/>
        <v>6000</v>
      </c>
      <c r="AL282" t="str">
        <f t="shared" si="60"/>
        <v>Up</v>
      </c>
    </row>
    <row r="283" spans="1:43" x14ac:dyDescent="0.2">
      <c r="A283" s="226" t="s">
        <v>215</v>
      </c>
      <c r="B283" s="9" t="s">
        <v>495</v>
      </c>
      <c r="C283" s="9">
        <v>0</v>
      </c>
      <c r="D283" s="9">
        <v>0</v>
      </c>
      <c r="E283" s="9"/>
      <c r="F283" s="9">
        <v>0</v>
      </c>
      <c r="G283" s="83">
        <v>4447</v>
      </c>
      <c r="H283" s="83">
        <f t="shared" si="56"/>
        <v>0</v>
      </c>
      <c r="I283" s="133">
        <f t="shared" si="57"/>
        <v>0</v>
      </c>
      <c r="J283" s="82"/>
      <c r="K283" s="82"/>
      <c r="L283" s="82"/>
      <c r="M283" s="82"/>
      <c r="N283" s="82"/>
      <c r="O283" s="82"/>
      <c r="P283" s="82"/>
      <c r="Q283" s="82"/>
      <c r="R283" s="82"/>
      <c r="S283" s="23"/>
      <c r="T283" s="23"/>
      <c r="U283" s="23"/>
      <c r="V283" s="79" t="s">
        <v>695</v>
      </c>
      <c r="W283" s="82">
        <f t="shared" si="58"/>
        <v>4447</v>
      </c>
      <c r="Y283" s="4"/>
      <c r="Z283" s="4"/>
      <c r="AA283" s="82"/>
      <c r="AB283" s="82"/>
      <c r="AC283" s="82"/>
      <c r="AD283" s="23"/>
      <c r="AE283" s="7" t="s">
        <v>451</v>
      </c>
      <c r="AH283" s="23">
        <f>SUM('2021 Detail'!J273:U273)+SUM('2021 Detail'!AA273)</f>
        <v>2000</v>
      </c>
      <c r="AJ283" s="23">
        <f t="shared" si="59"/>
        <v>-2000</v>
      </c>
      <c r="AL283" t="str">
        <f t="shared" si="60"/>
        <v>Down</v>
      </c>
      <c r="AQ283" s="23">
        <v>2000</v>
      </c>
    </row>
    <row r="284" spans="1:43" x14ac:dyDescent="0.2">
      <c r="A284" s="226" t="s">
        <v>216</v>
      </c>
      <c r="B284" s="9" t="s">
        <v>495</v>
      </c>
      <c r="C284" s="9" t="s">
        <v>495</v>
      </c>
      <c r="D284" s="9" t="s">
        <v>495</v>
      </c>
      <c r="E284" s="9"/>
      <c r="F284" s="9">
        <v>0</v>
      </c>
      <c r="G284" s="83">
        <v>74014</v>
      </c>
      <c r="H284" s="83">
        <f t="shared" si="56"/>
        <v>74014</v>
      </c>
      <c r="I284" s="133">
        <f t="shared" si="57"/>
        <v>1</v>
      </c>
      <c r="J284" s="82">
        <v>7000</v>
      </c>
      <c r="K284" s="82">
        <v>6500</v>
      </c>
      <c r="L284" s="82">
        <v>6500</v>
      </c>
      <c r="M284" s="82">
        <v>6500</v>
      </c>
      <c r="N284" s="82">
        <v>6500</v>
      </c>
      <c r="O284" s="82">
        <v>6500</v>
      </c>
      <c r="P284" s="82">
        <v>6500</v>
      </c>
      <c r="Q284" s="82">
        <v>6500</v>
      </c>
      <c r="R284" s="82">
        <v>6500</v>
      </c>
      <c r="S284" s="23">
        <v>6000</v>
      </c>
      <c r="T284" s="23">
        <v>6500</v>
      </c>
      <c r="U284" s="23">
        <v>2514</v>
      </c>
      <c r="V284" s="79" t="s">
        <v>696</v>
      </c>
      <c r="W284" s="82">
        <f t="shared" si="58"/>
        <v>0</v>
      </c>
      <c r="Y284" s="4"/>
      <c r="Z284" s="4"/>
      <c r="AA284" s="82"/>
      <c r="AB284" s="82"/>
      <c r="AC284" s="82"/>
      <c r="AD284" s="23"/>
      <c r="AE284" s="7" t="s">
        <v>443</v>
      </c>
      <c r="AH284" s="23">
        <f>SUM('2021 Detail'!J274:U274)+SUM('2021 Detail'!AA274)</f>
        <v>74014</v>
      </c>
      <c r="AJ284" s="23">
        <f t="shared" si="59"/>
        <v>0</v>
      </c>
      <c r="AL284" t="str">
        <f t="shared" si="60"/>
        <v>Same</v>
      </c>
      <c r="AQ284" s="23">
        <v>7014</v>
      </c>
    </row>
    <row r="285" spans="1:43" x14ac:dyDescent="0.2">
      <c r="A285" s="226" t="s">
        <v>217</v>
      </c>
      <c r="B285" s="9">
        <v>0</v>
      </c>
      <c r="C285" s="9">
        <v>0</v>
      </c>
      <c r="D285" s="9">
        <v>0</v>
      </c>
      <c r="E285" s="9"/>
      <c r="F285" s="9">
        <v>0</v>
      </c>
      <c r="G285" s="83">
        <v>12489</v>
      </c>
      <c r="H285" s="83">
        <f t="shared" si="56"/>
        <v>12489</v>
      </c>
      <c r="I285" s="133">
        <f t="shared" si="57"/>
        <v>1</v>
      </c>
      <c r="J285" s="82"/>
      <c r="K285" s="82"/>
      <c r="L285" s="82"/>
      <c r="M285" s="82"/>
      <c r="N285" s="82">
        <v>3121.98</v>
      </c>
      <c r="O285" s="82"/>
      <c r="P285" s="82">
        <v>510.33</v>
      </c>
      <c r="Q285" s="82">
        <v>510.33</v>
      </c>
      <c r="R285" s="82">
        <v>510.33</v>
      </c>
      <c r="S285" s="23">
        <v>510.33</v>
      </c>
      <c r="T285" s="23">
        <v>6694.29</v>
      </c>
      <c r="U285" s="23">
        <v>510.33</v>
      </c>
      <c r="V285" s="79" t="s">
        <v>697</v>
      </c>
      <c r="W285" s="82">
        <f t="shared" si="58"/>
        <v>0</v>
      </c>
      <c r="Y285" s="4"/>
      <c r="Z285" s="4"/>
      <c r="AA285" s="82">
        <v>121.08</v>
      </c>
      <c r="AB285" s="82"/>
      <c r="AC285" s="82"/>
      <c r="AD285" s="23"/>
      <c r="AE285" s="7" t="s">
        <v>444</v>
      </c>
      <c r="AH285" s="23">
        <f>SUM('2021 Detail'!J275:U275)+SUM('2021 Detail'!AA275)</f>
        <v>6244.44</v>
      </c>
      <c r="AJ285" s="23">
        <f t="shared" si="59"/>
        <v>6244.56</v>
      </c>
      <c r="AL285" t="str">
        <f t="shared" si="60"/>
        <v>Up</v>
      </c>
      <c r="AQ285" s="23">
        <v>520.37</v>
      </c>
    </row>
    <row r="286" spans="1:43" x14ac:dyDescent="0.2">
      <c r="A286" s="226" t="s">
        <v>218</v>
      </c>
      <c r="B286" s="9" t="s">
        <v>495</v>
      </c>
      <c r="C286" s="9">
        <v>0</v>
      </c>
      <c r="D286" s="9" t="s">
        <v>495</v>
      </c>
      <c r="E286" s="9"/>
      <c r="F286" s="9" t="s">
        <v>495</v>
      </c>
      <c r="G286" s="83">
        <v>8234</v>
      </c>
      <c r="H286" s="83">
        <f t="shared" si="56"/>
        <v>4000</v>
      </c>
      <c r="I286" s="133">
        <f t="shared" si="57"/>
        <v>0.48580000000000001</v>
      </c>
      <c r="J286" s="82">
        <v>250</v>
      </c>
      <c r="K286" s="82">
        <v>250</v>
      </c>
      <c r="L286" s="82">
        <v>250</v>
      </c>
      <c r="M286" s="82">
        <v>250</v>
      </c>
      <c r="N286" s="82">
        <v>250</v>
      </c>
      <c r="O286" s="82">
        <v>250</v>
      </c>
      <c r="P286" s="82">
        <v>250</v>
      </c>
      <c r="Q286" s="82">
        <v>250</v>
      </c>
      <c r="R286" s="82">
        <v>250</v>
      </c>
      <c r="S286" s="23">
        <v>250</v>
      </c>
      <c r="T286" s="23">
        <v>250</v>
      </c>
      <c r="U286" s="23">
        <v>1250</v>
      </c>
      <c r="V286" s="79" t="s">
        <v>698</v>
      </c>
      <c r="W286" s="82">
        <f t="shared" si="58"/>
        <v>4234</v>
      </c>
      <c r="Y286" s="4"/>
      <c r="Z286" s="4"/>
      <c r="AA286" s="82"/>
      <c r="AB286" s="82"/>
      <c r="AC286" s="82"/>
      <c r="AD286" s="23"/>
      <c r="AE286" s="7" t="s">
        <v>444</v>
      </c>
      <c r="AH286" s="23">
        <f>SUM('2021 Detail'!J276:U276)+SUM('2021 Detail'!AA276)</f>
        <v>3000</v>
      </c>
      <c r="AJ286" s="23">
        <f t="shared" si="59"/>
        <v>1000</v>
      </c>
      <c r="AL286" t="str">
        <f t="shared" si="60"/>
        <v>Up</v>
      </c>
      <c r="AQ286" s="23">
        <v>250</v>
      </c>
    </row>
    <row r="287" spans="1:43" x14ac:dyDescent="0.2">
      <c r="A287" s="226" t="s">
        <v>219</v>
      </c>
      <c r="B287" s="9" t="s">
        <v>495</v>
      </c>
      <c r="C287" s="9" t="s">
        <v>495</v>
      </c>
      <c r="D287" s="9" t="s">
        <v>495</v>
      </c>
      <c r="E287" s="9"/>
      <c r="F287" s="9">
        <v>0</v>
      </c>
      <c r="G287" s="83">
        <v>5352</v>
      </c>
      <c r="H287" s="83">
        <f t="shared" si="56"/>
        <v>5352</v>
      </c>
      <c r="I287" s="133">
        <f t="shared" si="57"/>
        <v>1</v>
      </c>
      <c r="J287" s="82">
        <v>200</v>
      </c>
      <c r="K287" s="82">
        <v>200</v>
      </c>
      <c r="L287" s="82">
        <v>200</v>
      </c>
      <c r="M287" s="82">
        <v>200</v>
      </c>
      <c r="N287" s="82">
        <v>200</v>
      </c>
      <c r="O287" s="82">
        <v>200</v>
      </c>
      <c r="P287" s="82">
        <v>200</v>
      </c>
      <c r="Q287" s="82">
        <v>200</v>
      </c>
      <c r="R287" s="82">
        <v>200</v>
      </c>
      <c r="S287" s="23">
        <v>2200</v>
      </c>
      <c r="T287" s="23">
        <v>200</v>
      </c>
      <c r="U287" s="23">
        <v>1152</v>
      </c>
      <c r="V287" s="79" t="s">
        <v>699</v>
      </c>
      <c r="W287" s="82">
        <f t="shared" si="58"/>
        <v>0</v>
      </c>
      <c r="Y287" s="4"/>
      <c r="Z287" s="4"/>
      <c r="AA287" s="82"/>
      <c r="AB287" s="82"/>
      <c r="AC287" s="82"/>
      <c r="AD287" s="23"/>
      <c r="AE287" s="7" t="s">
        <v>444</v>
      </c>
      <c r="AH287" s="23">
        <f>SUM('2021 Detail'!J277:U277)+SUM('2021 Detail'!AA277)</f>
        <v>2400</v>
      </c>
      <c r="AJ287" s="23">
        <f t="shared" si="59"/>
        <v>2952</v>
      </c>
      <c r="AL287" t="str">
        <f t="shared" si="60"/>
        <v>Up</v>
      </c>
      <c r="AQ287" s="23">
        <v>200</v>
      </c>
    </row>
    <row r="288" spans="1:43" x14ac:dyDescent="0.2">
      <c r="A288" s="226" t="s">
        <v>220</v>
      </c>
      <c r="B288" s="9" t="s">
        <v>495</v>
      </c>
      <c r="C288" s="9" t="s">
        <v>495</v>
      </c>
      <c r="D288" s="9" t="s">
        <v>495</v>
      </c>
      <c r="E288" s="9"/>
      <c r="F288" s="9" t="s">
        <v>495</v>
      </c>
      <c r="G288" s="83">
        <v>50544</v>
      </c>
      <c r="H288" s="83">
        <f t="shared" si="56"/>
        <v>50544</v>
      </c>
      <c r="I288" s="133">
        <f t="shared" si="57"/>
        <v>1</v>
      </c>
      <c r="J288" s="82">
        <v>4212</v>
      </c>
      <c r="K288" s="82">
        <v>4212</v>
      </c>
      <c r="L288" s="82">
        <v>4212</v>
      </c>
      <c r="M288" s="82">
        <v>4212</v>
      </c>
      <c r="N288" s="82">
        <v>4212</v>
      </c>
      <c r="O288" s="82">
        <v>4212</v>
      </c>
      <c r="P288" s="82">
        <v>4212</v>
      </c>
      <c r="Q288" s="82">
        <v>4212</v>
      </c>
      <c r="R288" s="82">
        <v>4212</v>
      </c>
      <c r="S288" s="82">
        <v>4212</v>
      </c>
      <c r="T288" s="23">
        <v>4212</v>
      </c>
      <c r="U288" s="23">
        <v>4212</v>
      </c>
      <c r="V288" s="79" t="s">
        <v>700</v>
      </c>
      <c r="W288" s="82">
        <f t="shared" si="58"/>
        <v>0</v>
      </c>
      <c r="Y288" s="4"/>
      <c r="Z288" s="4"/>
      <c r="AA288" s="82"/>
      <c r="AB288" s="82"/>
      <c r="AC288" s="82"/>
      <c r="AD288" s="23"/>
      <c r="AE288" s="7" t="s">
        <v>445</v>
      </c>
      <c r="AH288" s="23">
        <f>SUM('2021 Detail'!J278:U278)+SUM('2021 Detail'!AA278)</f>
        <v>50544</v>
      </c>
      <c r="AJ288" s="23">
        <f t="shared" si="59"/>
        <v>0</v>
      </c>
      <c r="AL288" t="str">
        <f t="shared" si="60"/>
        <v>Same</v>
      </c>
      <c r="AQ288" s="23">
        <v>4212</v>
      </c>
    </row>
    <row r="289" spans="1:43" x14ac:dyDescent="0.2">
      <c r="A289" s="226" t="s">
        <v>221</v>
      </c>
      <c r="B289" s="9" t="s">
        <v>495</v>
      </c>
      <c r="C289" s="9" t="s">
        <v>495</v>
      </c>
      <c r="D289" s="9">
        <v>0</v>
      </c>
      <c r="E289" s="9"/>
      <c r="F289" s="9">
        <v>0</v>
      </c>
      <c r="G289" s="83">
        <v>54722</v>
      </c>
      <c r="H289" s="83">
        <f t="shared" si="56"/>
        <v>21888.799999999999</v>
      </c>
      <c r="I289" s="133">
        <f t="shared" si="57"/>
        <v>0.4</v>
      </c>
      <c r="J289" s="82"/>
      <c r="K289" s="82"/>
      <c r="L289" s="82">
        <v>8208.2999999999993</v>
      </c>
      <c r="M289" s="82">
        <v>2736.1</v>
      </c>
      <c r="N289" s="82">
        <v>5472.2</v>
      </c>
      <c r="O289" s="82"/>
      <c r="P289" s="82">
        <v>5472.2</v>
      </c>
      <c r="Q289" s="82"/>
      <c r="R289" s="82"/>
      <c r="S289" s="23"/>
      <c r="T289" s="23"/>
      <c r="U289" s="23"/>
      <c r="V289" s="79" t="s">
        <v>701</v>
      </c>
      <c r="W289" s="82">
        <f t="shared" si="58"/>
        <v>32833.199999999997</v>
      </c>
      <c r="Y289" s="4"/>
      <c r="Z289" s="4"/>
      <c r="AA289" s="82"/>
      <c r="AB289" s="82"/>
      <c r="AC289" s="82"/>
      <c r="AD289" s="23"/>
      <c r="AE289" s="7" t="s">
        <v>446</v>
      </c>
      <c r="AH289" s="23">
        <f>SUM('2021 Detail'!J279:U279)+SUM('2021 Detail'!AA279)</f>
        <v>41041.5</v>
      </c>
      <c r="AJ289" s="23">
        <f t="shared" si="59"/>
        <v>-19152.7</v>
      </c>
      <c r="AL289" t="str">
        <f t="shared" si="60"/>
        <v>Down</v>
      </c>
      <c r="AQ289" s="23">
        <v>2736.1</v>
      </c>
    </row>
    <row r="290" spans="1:43" x14ac:dyDescent="0.2">
      <c r="A290" s="226" t="s">
        <v>222</v>
      </c>
      <c r="B290" s="9" t="s">
        <v>495</v>
      </c>
      <c r="C290" s="9" t="s">
        <v>495</v>
      </c>
      <c r="D290" s="9" t="s">
        <v>495</v>
      </c>
      <c r="E290" s="9"/>
      <c r="F290" s="9">
        <v>0</v>
      </c>
      <c r="G290" s="83">
        <v>11607</v>
      </c>
      <c r="H290" s="83">
        <f t="shared" si="56"/>
        <v>6000</v>
      </c>
      <c r="I290" s="133">
        <f t="shared" si="57"/>
        <v>0.51690000000000003</v>
      </c>
      <c r="J290" s="82"/>
      <c r="K290" s="82"/>
      <c r="L290" s="82">
        <v>1000</v>
      </c>
      <c r="M290" s="82"/>
      <c r="N290" s="82"/>
      <c r="O290" s="82"/>
      <c r="P290" s="82">
        <v>2000</v>
      </c>
      <c r="Q290" s="82"/>
      <c r="R290" s="82"/>
      <c r="S290" s="23"/>
      <c r="T290" s="23"/>
      <c r="U290" s="23">
        <v>3000</v>
      </c>
      <c r="V290" s="79" t="s">
        <v>702</v>
      </c>
      <c r="W290" s="82">
        <f t="shared" si="58"/>
        <v>5607</v>
      </c>
      <c r="Y290" s="4"/>
      <c r="Z290" s="4"/>
      <c r="AA290" s="82"/>
      <c r="AB290" s="82"/>
      <c r="AC290" s="82"/>
      <c r="AD290" s="23"/>
      <c r="AE290" s="7" t="s">
        <v>446</v>
      </c>
      <c r="AH290" s="23">
        <f>SUM('2021 Detail'!J280:U280)+SUM('2021 Detail'!AA280)</f>
        <v>3000</v>
      </c>
      <c r="AJ290" s="23">
        <f t="shared" si="59"/>
        <v>3000</v>
      </c>
      <c r="AL290" t="str">
        <f t="shared" si="60"/>
        <v>Up</v>
      </c>
      <c r="AQ290" s="23">
        <v>1000</v>
      </c>
    </row>
    <row r="291" spans="1:43" x14ac:dyDescent="0.2">
      <c r="A291" s="226" t="s">
        <v>223</v>
      </c>
      <c r="B291" s="9" t="s">
        <v>495</v>
      </c>
      <c r="C291" s="9" t="s">
        <v>495</v>
      </c>
      <c r="D291" s="9" t="s">
        <v>495</v>
      </c>
      <c r="E291" s="9"/>
      <c r="F291" s="9" t="s">
        <v>495</v>
      </c>
      <c r="G291" s="83">
        <v>33762</v>
      </c>
      <c r="H291" s="83">
        <f t="shared" si="56"/>
        <v>24000</v>
      </c>
      <c r="I291" s="133">
        <f t="shared" si="57"/>
        <v>0.71089999999999998</v>
      </c>
      <c r="J291" s="82">
        <v>2000</v>
      </c>
      <c r="K291" s="82">
        <v>2000</v>
      </c>
      <c r="L291" s="82">
        <v>2000</v>
      </c>
      <c r="M291" s="82">
        <v>2000</v>
      </c>
      <c r="N291" s="82">
        <v>2000</v>
      </c>
      <c r="O291" s="82">
        <v>2000</v>
      </c>
      <c r="P291" s="82">
        <v>2000</v>
      </c>
      <c r="Q291" s="82">
        <v>2000</v>
      </c>
      <c r="R291" s="82">
        <v>2000</v>
      </c>
      <c r="S291" s="23">
        <v>2000</v>
      </c>
      <c r="T291" s="23">
        <v>2000</v>
      </c>
      <c r="U291" s="23">
        <v>2000</v>
      </c>
      <c r="V291" s="79" t="s">
        <v>703</v>
      </c>
      <c r="W291" s="82">
        <f t="shared" si="58"/>
        <v>9762</v>
      </c>
      <c r="Y291" s="4"/>
      <c r="Z291" s="4"/>
      <c r="AA291" s="82"/>
      <c r="AB291" s="82"/>
      <c r="AC291" s="82"/>
      <c r="AD291" s="23"/>
      <c r="AE291" s="7" t="s">
        <v>450</v>
      </c>
      <c r="AH291" s="23">
        <f>SUM('2021 Detail'!J281:U281)+SUM('2021 Detail'!AA281)</f>
        <v>27904.799999999999</v>
      </c>
      <c r="AJ291" s="23">
        <f t="shared" si="59"/>
        <v>-3904.7999999999993</v>
      </c>
      <c r="AL291" t="str">
        <f t="shared" si="60"/>
        <v>Down</v>
      </c>
      <c r="AQ291" s="23">
        <v>2000</v>
      </c>
    </row>
    <row r="292" spans="1:43" x14ac:dyDescent="0.2">
      <c r="A292" s="226" t="s">
        <v>224</v>
      </c>
      <c r="B292" s="9" t="s">
        <v>495</v>
      </c>
      <c r="C292" s="9">
        <v>0</v>
      </c>
      <c r="D292" s="9">
        <v>0</v>
      </c>
      <c r="E292" s="9"/>
      <c r="F292" s="9">
        <v>0</v>
      </c>
      <c r="G292" s="83">
        <v>72417</v>
      </c>
      <c r="H292" s="83">
        <f t="shared" si="56"/>
        <v>54312.75</v>
      </c>
      <c r="I292" s="133">
        <f t="shared" si="57"/>
        <v>0.75</v>
      </c>
      <c r="J292" s="82"/>
      <c r="K292" s="82">
        <v>6034.75</v>
      </c>
      <c r="L292" s="82">
        <v>6034.75</v>
      </c>
      <c r="M292" s="82">
        <v>6034.75</v>
      </c>
      <c r="N292" s="82"/>
      <c r="O292" s="82"/>
      <c r="P292" s="82">
        <v>6034.75</v>
      </c>
      <c r="Q292" s="82">
        <v>18104.25</v>
      </c>
      <c r="R292" s="82"/>
      <c r="S292" s="23">
        <v>6034.75</v>
      </c>
      <c r="T292" s="23">
        <v>6034.75</v>
      </c>
      <c r="U292" s="23"/>
      <c r="V292" s="79" t="s">
        <v>704</v>
      </c>
      <c r="W292" s="82">
        <f t="shared" si="58"/>
        <v>18104.25</v>
      </c>
      <c r="Y292" s="4"/>
      <c r="Z292" s="4"/>
      <c r="AA292" s="82"/>
      <c r="AB292" s="82"/>
      <c r="AC292" s="82"/>
      <c r="AD292" s="23"/>
      <c r="AE292" s="7" t="s">
        <v>448</v>
      </c>
      <c r="AH292" s="23">
        <f>SUM('2021 Detail'!J282:U282)+SUM('2021 Detail'!AA282)</f>
        <v>72417</v>
      </c>
      <c r="AJ292" s="23">
        <f t="shared" si="59"/>
        <v>-18104.25</v>
      </c>
      <c r="AL292" t="str">
        <f t="shared" si="60"/>
        <v>Down</v>
      </c>
      <c r="AQ292" s="23">
        <v>6034.75</v>
      </c>
    </row>
    <row r="293" spans="1:43" x14ac:dyDescent="0.2">
      <c r="A293" s="226" t="s">
        <v>225</v>
      </c>
      <c r="B293" s="9" t="s">
        <v>495</v>
      </c>
      <c r="C293" s="9">
        <v>0</v>
      </c>
      <c r="D293" s="9">
        <v>0</v>
      </c>
      <c r="E293" s="9"/>
      <c r="F293" s="9">
        <v>0</v>
      </c>
      <c r="G293" s="83">
        <v>33193</v>
      </c>
      <c r="H293" s="83">
        <f t="shared" si="56"/>
        <v>0</v>
      </c>
      <c r="I293" s="133">
        <f t="shared" si="57"/>
        <v>0</v>
      </c>
      <c r="J293" s="82"/>
      <c r="K293" s="82"/>
      <c r="L293" s="82"/>
      <c r="M293" s="82"/>
      <c r="N293" s="82"/>
      <c r="O293" s="82"/>
      <c r="P293" s="82"/>
      <c r="Q293" s="82"/>
      <c r="R293" s="82"/>
      <c r="S293" s="23"/>
      <c r="T293" s="23"/>
      <c r="U293" s="23"/>
      <c r="V293" s="79" t="s">
        <v>705</v>
      </c>
      <c r="W293" s="82">
        <f t="shared" si="58"/>
        <v>33193</v>
      </c>
      <c r="Y293" s="4"/>
      <c r="Z293" s="4"/>
      <c r="AA293" s="82"/>
      <c r="AB293" s="82"/>
      <c r="AC293" s="82"/>
      <c r="AD293" s="23"/>
      <c r="AE293" s="7" t="s">
        <v>449</v>
      </c>
      <c r="AH293" s="23">
        <f>SUM('2021 Detail'!J283:U283)+SUM('2021 Detail'!AA283)</f>
        <v>4000</v>
      </c>
      <c r="AJ293" s="23">
        <f t="shared" si="59"/>
        <v>-4000</v>
      </c>
      <c r="AL293" t="str">
        <f t="shared" si="60"/>
        <v>Down</v>
      </c>
    </row>
    <row r="294" spans="1:43" x14ac:dyDescent="0.2">
      <c r="A294" s="226" t="s">
        <v>226</v>
      </c>
      <c r="B294" s="9" t="s">
        <v>495</v>
      </c>
      <c r="C294" s="9" t="s">
        <v>495</v>
      </c>
      <c r="D294" s="9">
        <v>0</v>
      </c>
      <c r="E294" s="9"/>
      <c r="F294" s="9" t="s">
        <v>495</v>
      </c>
      <c r="G294" s="83">
        <v>67523</v>
      </c>
      <c r="H294" s="83">
        <f t="shared" si="56"/>
        <v>50642.279999999992</v>
      </c>
      <c r="I294" s="133">
        <f t="shared" si="57"/>
        <v>0.75</v>
      </c>
      <c r="J294" s="82">
        <v>5626.92</v>
      </c>
      <c r="K294" s="82">
        <v>5626.92</v>
      </c>
      <c r="L294" s="82">
        <v>5626.92</v>
      </c>
      <c r="M294" s="82">
        <v>5626.92</v>
      </c>
      <c r="N294" s="82">
        <v>5626.92</v>
      </c>
      <c r="O294" s="82">
        <v>5626.92</v>
      </c>
      <c r="P294" s="82">
        <v>5626.92</v>
      </c>
      <c r="Q294" s="82">
        <v>5626.92</v>
      </c>
      <c r="R294" s="82">
        <v>5626.92</v>
      </c>
      <c r="S294" s="23"/>
      <c r="T294" s="23"/>
      <c r="U294" s="23"/>
      <c r="V294" s="79" t="s">
        <v>706</v>
      </c>
      <c r="W294" s="82">
        <f t="shared" si="58"/>
        <v>16880.720000000008</v>
      </c>
      <c r="Y294" s="4"/>
      <c r="Z294" s="4"/>
      <c r="AA294" s="82"/>
      <c r="AB294" s="82"/>
      <c r="AC294" s="82"/>
      <c r="AD294" s="23"/>
      <c r="AE294" s="7" t="s">
        <v>450</v>
      </c>
      <c r="AH294" s="23">
        <f>SUM('2021 Detail'!J284:U284)+SUM('2021 Detail'!AA284)</f>
        <v>67523.01999999999</v>
      </c>
      <c r="AJ294" s="23">
        <f t="shared" si="59"/>
        <v>-16880.739999999998</v>
      </c>
      <c r="AL294" t="str">
        <f t="shared" si="60"/>
        <v>Down</v>
      </c>
      <c r="AQ294" s="23">
        <v>5626.92</v>
      </c>
    </row>
    <row r="295" spans="1:43" x14ac:dyDescent="0.2">
      <c r="A295" s="226" t="s">
        <v>227</v>
      </c>
      <c r="B295" s="9" t="s">
        <v>495</v>
      </c>
      <c r="C295" s="9" t="s">
        <v>495</v>
      </c>
      <c r="D295" s="9">
        <v>0</v>
      </c>
      <c r="E295" s="9"/>
      <c r="F295" s="9" t="s">
        <v>495</v>
      </c>
      <c r="G295" s="83">
        <v>41478</v>
      </c>
      <c r="H295" s="83">
        <f t="shared" si="56"/>
        <v>41478</v>
      </c>
      <c r="I295" s="133">
        <f t="shared" si="57"/>
        <v>1</v>
      </c>
      <c r="J295" s="82">
        <v>3456.5</v>
      </c>
      <c r="K295" s="82">
        <v>3456.5</v>
      </c>
      <c r="L295" s="82">
        <v>3456.5</v>
      </c>
      <c r="M295" s="82">
        <v>3456.5</v>
      </c>
      <c r="N295" s="82">
        <v>3456.5</v>
      </c>
      <c r="O295" s="82">
        <v>3456.5</v>
      </c>
      <c r="P295" s="82">
        <v>3456.5</v>
      </c>
      <c r="Q295" s="82">
        <v>3456.5</v>
      </c>
      <c r="R295" s="82">
        <v>3456.5</v>
      </c>
      <c r="S295" s="23">
        <v>3456.5</v>
      </c>
      <c r="T295" s="23">
        <v>3456.5</v>
      </c>
      <c r="U295" s="23">
        <v>3456.5</v>
      </c>
      <c r="V295" s="79" t="s">
        <v>707</v>
      </c>
      <c r="W295" s="82">
        <f t="shared" si="58"/>
        <v>0</v>
      </c>
      <c r="Y295" s="4"/>
      <c r="Z295" s="4"/>
      <c r="AA295" s="82"/>
      <c r="AB295" s="82"/>
      <c r="AC295" s="82"/>
      <c r="AD295" s="23"/>
      <c r="AE295" s="7" t="s">
        <v>451</v>
      </c>
      <c r="AH295" s="23">
        <f>SUM('2021 Detail'!J285:U285)+SUM('2021 Detail'!AA285)</f>
        <v>41478</v>
      </c>
      <c r="AJ295" s="23">
        <f t="shared" si="59"/>
        <v>0</v>
      </c>
      <c r="AL295" t="str">
        <f t="shared" si="60"/>
        <v>Same</v>
      </c>
      <c r="AQ295" s="23">
        <v>3456.5</v>
      </c>
    </row>
    <row r="296" spans="1:43" x14ac:dyDescent="0.2">
      <c r="A296" s="226" t="s">
        <v>228</v>
      </c>
      <c r="B296" s="9" t="s">
        <v>495</v>
      </c>
      <c r="C296" s="9">
        <v>0</v>
      </c>
      <c r="D296" s="9">
        <v>0</v>
      </c>
      <c r="E296" s="9"/>
      <c r="F296" s="9" t="s">
        <v>495</v>
      </c>
      <c r="G296" s="83">
        <v>13203</v>
      </c>
      <c r="H296" s="83">
        <f t="shared" si="56"/>
        <v>13203</v>
      </c>
      <c r="I296" s="133">
        <f t="shared" si="57"/>
        <v>1</v>
      </c>
      <c r="J296" s="82">
        <v>1100.25</v>
      </c>
      <c r="K296" s="82">
        <v>1100.25</v>
      </c>
      <c r="L296" s="82">
        <v>1100.25</v>
      </c>
      <c r="M296" s="82">
        <v>1100.25</v>
      </c>
      <c r="N296" s="82">
        <v>1100.25</v>
      </c>
      <c r="O296" s="82">
        <v>1100.25</v>
      </c>
      <c r="P296" s="82">
        <v>1100.25</v>
      </c>
      <c r="Q296" s="82">
        <v>1100.25</v>
      </c>
      <c r="R296" s="82">
        <v>1100.25</v>
      </c>
      <c r="S296" s="23">
        <v>1100.25</v>
      </c>
      <c r="T296" s="23">
        <v>1100.25</v>
      </c>
      <c r="U296" s="23">
        <v>1100.25</v>
      </c>
      <c r="V296" s="79" t="s">
        <v>708</v>
      </c>
      <c r="W296" s="82">
        <f t="shared" si="58"/>
        <v>0</v>
      </c>
      <c r="Y296" s="4"/>
      <c r="Z296" s="4"/>
      <c r="AA296" s="82"/>
      <c r="AB296" s="82"/>
      <c r="AC296" s="82"/>
      <c r="AD296" s="23"/>
      <c r="AE296" s="7" t="s">
        <v>451</v>
      </c>
      <c r="AH296" s="23">
        <f>SUM('2021 Detail'!J286:U286)+SUM('2021 Detail'!AA286)</f>
        <v>13203</v>
      </c>
      <c r="AJ296" s="23">
        <f t="shared" si="59"/>
        <v>0</v>
      </c>
      <c r="AL296" t="str">
        <f t="shared" si="60"/>
        <v>Same</v>
      </c>
      <c r="AQ296" s="23">
        <v>1100.25</v>
      </c>
    </row>
    <row r="297" spans="1:43" x14ac:dyDescent="0.2">
      <c r="A297" s="226" t="s">
        <v>229</v>
      </c>
      <c r="B297" s="9" t="s">
        <v>495</v>
      </c>
      <c r="C297" s="9" t="s">
        <v>495</v>
      </c>
      <c r="D297" s="9">
        <v>0</v>
      </c>
      <c r="E297" s="9"/>
      <c r="F297" s="9">
        <v>0</v>
      </c>
      <c r="G297" s="83">
        <v>155275</v>
      </c>
      <c r="H297" s="83">
        <f t="shared" si="56"/>
        <v>155275</v>
      </c>
      <c r="I297" s="133">
        <f t="shared" si="57"/>
        <v>1</v>
      </c>
      <c r="J297" s="82">
        <v>12939</v>
      </c>
      <c r="K297" s="82">
        <v>12939</v>
      </c>
      <c r="L297" s="82">
        <v>12939</v>
      </c>
      <c r="M297" s="82">
        <v>12939</v>
      </c>
      <c r="N297" s="82">
        <v>12939</v>
      </c>
      <c r="O297" s="82">
        <v>12939</v>
      </c>
      <c r="P297" s="82">
        <v>12939</v>
      </c>
      <c r="Q297" s="82">
        <v>12939</v>
      </c>
      <c r="R297" s="82">
        <v>12939</v>
      </c>
      <c r="S297" s="23">
        <v>12939</v>
      </c>
      <c r="T297" s="23">
        <v>12939</v>
      </c>
      <c r="U297" s="23">
        <v>12946</v>
      </c>
      <c r="V297" s="79" t="s">
        <v>709</v>
      </c>
      <c r="W297" s="82">
        <f t="shared" si="58"/>
        <v>0</v>
      </c>
      <c r="Y297" s="4"/>
      <c r="Z297" s="4"/>
      <c r="AA297" s="82"/>
      <c r="AB297" s="82"/>
      <c r="AC297" s="82"/>
      <c r="AD297" s="23"/>
      <c r="AE297" s="7" t="s">
        <v>447</v>
      </c>
      <c r="AH297" s="23">
        <f>SUM('2021 Detail'!J287:U287)+SUM('2021 Detail'!AA287)</f>
        <v>155296</v>
      </c>
      <c r="AJ297" s="23">
        <f t="shared" si="59"/>
        <v>-21</v>
      </c>
      <c r="AL297" t="str">
        <f t="shared" si="60"/>
        <v>Down</v>
      </c>
      <c r="AQ297" s="23">
        <v>12947</v>
      </c>
    </row>
    <row r="298" spans="1:43" x14ac:dyDescent="0.2">
      <c r="A298" s="226" t="s">
        <v>230</v>
      </c>
      <c r="B298" s="9">
        <v>0</v>
      </c>
      <c r="C298" s="9" t="s">
        <v>495</v>
      </c>
      <c r="D298" s="9">
        <v>0</v>
      </c>
      <c r="E298" s="9"/>
      <c r="F298" s="9">
        <v>0</v>
      </c>
      <c r="G298" s="83">
        <v>1372</v>
      </c>
      <c r="H298" s="83">
        <f t="shared" si="56"/>
        <v>700</v>
      </c>
      <c r="I298" s="133">
        <f t="shared" si="57"/>
        <v>0.51019999999999999</v>
      </c>
      <c r="J298" s="82"/>
      <c r="K298" s="82"/>
      <c r="L298" s="82"/>
      <c r="M298" s="82"/>
      <c r="N298" s="82"/>
      <c r="O298" s="82"/>
      <c r="P298" s="82"/>
      <c r="Q298" s="82"/>
      <c r="R298" s="82"/>
      <c r="S298" s="23"/>
      <c r="T298" s="23">
        <v>700</v>
      </c>
      <c r="U298" s="23"/>
      <c r="V298" s="79" t="s">
        <v>710</v>
      </c>
      <c r="W298" s="82">
        <f t="shared" si="58"/>
        <v>672</v>
      </c>
      <c r="Y298" s="4"/>
      <c r="Z298" s="4"/>
      <c r="AA298" s="82"/>
      <c r="AB298" s="82"/>
      <c r="AC298" s="82"/>
      <c r="AD298" s="23"/>
      <c r="AE298" s="7" t="s">
        <v>444</v>
      </c>
      <c r="AH298" s="23">
        <f>SUM('2021 Detail'!J288:U288)+SUM('2021 Detail'!AA288)</f>
        <v>700</v>
      </c>
      <c r="AJ298" s="23">
        <f t="shared" si="59"/>
        <v>0</v>
      </c>
      <c r="AL298" t="str">
        <f t="shared" si="60"/>
        <v>Same</v>
      </c>
      <c r="AQ298" s="23">
        <v>700</v>
      </c>
    </row>
    <row r="299" spans="1:43" x14ac:dyDescent="0.2">
      <c r="G299" s="83"/>
      <c r="H299" s="83"/>
      <c r="I299" s="133"/>
      <c r="Y299" s="4"/>
      <c r="Z299" s="4"/>
      <c r="AJ299" s="23"/>
    </row>
    <row r="300" spans="1:43" x14ac:dyDescent="0.2">
      <c r="A300" s="226" t="s">
        <v>1142</v>
      </c>
      <c r="G300" s="83">
        <f>SUM(G275:G299)</f>
        <v>891905</v>
      </c>
      <c r="H300" s="83">
        <f>SUM(H275:H299)</f>
        <v>740918.83</v>
      </c>
      <c r="I300" s="133">
        <f t="shared" ref="I300:I301" si="61">ROUND((H300/G300),4)</f>
        <v>0.83069999999999999</v>
      </c>
      <c r="J300" s="83">
        <f>SUM(J275:J299)</f>
        <v>41860.54</v>
      </c>
      <c r="K300" s="83">
        <f t="shared" ref="K300:W300" si="62">SUM(K275:K299)</f>
        <v>71276.350000000006</v>
      </c>
      <c r="L300" s="83">
        <f t="shared" si="62"/>
        <v>60008.639999999999</v>
      </c>
      <c r="M300" s="83">
        <f t="shared" si="62"/>
        <v>73012.44</v>
      </c>
      <c r="N300" s="83">
        <f t="shared" si="62"/>
        <v>64345.26999999999</v>
      </c>
      <c r="O300" s="83">
        <f t="shared" si="62"/>
        <v>53751.09</v>
      </c>
      <c r="P300" s="83">
        <f t="shared" si="62"/>
        <v>69268.37</v>
      </c>
      <c r="Q300" s="83">
        <f t="shared" si="62"/>
        <v>72365.67</v>
      </c>
      <c r="R300" s="83">
        <f t="shared" si="62"/>
        <v>54261.42</v>
      </c>
      <c r="S300" s="4">
        <f t="shared" si="62"/>
        <v>54169.25</v>
      </c>
      <c r="T300" s="4">
        <f t="shared" si="62"/>
        <v>71477.209999999992</v>
      </c>
      <c r="U300" s="4">
        <f t="shared" si="62"/>
        <v>50136.5</v>
      </c>
      <c r="V300" s="77"/>
      <c r="W300" s="82">
        <f t="shared" si="62"/>
        <v>150986.17000000001</v>
      </c>
      <c r="Y300" s="4"/>
      <c r="Z300" s="4"/>
      <c r="AA300" s="83">
        <f t="shared" ref="AA300:AC300" si="63">SUM(AA275:AA299)</f>
        <v>4986.08</v>
      </c>
      <c r="AB300" s="83">
        <f t="shared" si="63"/>
        <v>0</v>
      </c>
      <c r="AC300" s="83">
        <f t="shared" si="63"/>
        <v>0</v>
      </c>
      <c r="AD300" s="4"/>
      <c r="AH300" s="23">
        <f>SUM(AH275:AH299)</f>
        <v>779313.05999999994</v>
      </c>
      <c r="AJ300" s="23">
        <f t="shared" si="59"/>
        <v>-38394.229999999981</v>
      </c>
      <c r="AM300" s="11">
        <f>SUM(J300:R300)+SUM(S301:U301)+SUM('2020 detail'!AA289:AC289)</f>
        <v>769605.74999999988</v>
      </c>
      <c r="AN300" s="24">
        <f>ROUND((AM300/G300),4)</f>
        <v>0.8629</v>
      </c>
      <c r="AO300" s="24">
        <f>ROUND((SUM(J301:U301)/G301),4)</f>
        <v>0.85219999999999996</v>
      </c>
      <c r="AQ300" s="23">
        <f>SUM(AQ275:AQ299)</f>
        <v>70848.51999999999</v>
      </c>
    </row>
    <row r="301" spans="1:43" x14ac:dyDescent="0.2">
      <c r="A301" s="253" t="s">
        <v>1056</v>
      </c>
      <c r="G301" s="206">
        <f>'2021 Detail'!G290</f>
        <v>891905</v>
      </c>
      <c r="H301" s="206">
        <f>SUM(J301:U301)+SUM(AA301:AC301)</f>
        <v>779971.76</v>
      </c>
      <c r="I301" s="207">
        <f t="shared" si="61"/>
        <v>0.87450000000000006</v>
      </c>
      <c r="J301" s="206">
        <f>'2021 Detail'!J290</f>
        <v>36371.32</v>
      </c>
      <c r="K301" s="206">
        <f>'2021 Detail'!K290</f>
        <v>40614.78</v>
      </c>
      <c r="L301" s="206">
        <f>'2021 Detail'!L290</f>
        <v>77212.679999999993</v>
      </c>
      <c r="M301" s="206">
        <f>'2021 Detail'!M290</f>
        <v>81804.539999999994</v>
      </c>
      <c r="N301" s="206">
        <f>'2021 Detail'!N290</f>
        <v>64393.549999999996</v>
      </c>
      <c r="O301" s="206">
        <f>'2021 Detail'!O290</f>
        <v>60940.17</v>
      </c>
      <c r="P301" s="206">
        <f>'2021 Detail'!P290</f>
        <v>60231.869999999995</v>
      </c>
      <c r="Q301" s="206">
        <f>'2021 Detail'!Q290</f>
        <v>56531.869999999995</v>
      </c>
      <c r="R301" s="206">
        <f>'2021 Detail'!R290</f>
        <v>72517.319999999992</v>
      </c>
      <c r="S301" s="206">
        <f>'2021 Detail'!S290</f>
        <v>67661.67</v>
      </c>
      <c r="T301" s="206">
        <f>'2021 Detail'!T290</f>
        <v>70945.76999999999</v>
      </c>
      <c r="U301" s="206">
        <f>'2021 Detail'!U290</f>
        <v>70848.51999999999</v>
      </c>
      <c r="V301" s="206"/>
      <c r="W301" s="206"/>
      <c r="X301" s="206"/>
      <c r="Y301" s="4"/>
      <c r="Z301" s="4"/>
      <c r="AA301" s="206">
        <f>'2021 Detail'!AA290</f>
        <v>19239</v>
      </c>
      <c r="AB301" s="206">
        <f>'2021 Detail'!AB290</f>
        <v>658.7</v>
      </c>
      <c r="AC301" s="206">
        <f>'2021 Detail'!AC290</f>
        <v>0</v>
      </c>
      <c r="AJ301" s="23"/>
    </row>
    <row r="302" spans="1:43" x14ac:dyDescent="0.2">
      <c r="Y302" s="4"/>
      <c r="Z302" s="4"/>
      <c r="AJ302" s="23"/>
    </row>
    <row r="303" spans="1:43" x14ac:dyDescent="0.2">
      <c r="A303" s="226" t="str">
        <f t="shared" ref="A303:U303" si="64">A$510</f>
        <v>Diocesan Total 2022</v>
      </c>
      <c r="B303" s="226">
        <f t="shared" si="64"/>
        <v>0</v>
      </c>
      <c r="C303" s="226">
        <f t="shared" si="64"/>
        <v>0</v>
      </c>
      <c r="D303" s="258">
        <f t="shared" si="64"/>
        <v>0</v>
      </c>
      <c r="E303" s="226">
        <f t="shared" si="64"/>
        <v>0</v>
      </c>
      <c r="F303" s="226">
        <f t="shared" si="64"/>
        <v>0</v>
      </c>
      <c r="G303" s="83">
        <f t="shared" si="64"/>
        <v>8116012</v>
      </c>
      <c r="H303" s="83">
        <f t="shared" si="64"/>
        <v>6559332.3399999999</v>
      </c>
      <c r="I303" s="133">
        <f t="shared" si="64"/>
        <v>0.80820000000000003</v>
      </c>
      <c r="J303" s="83">
        <f t="shared" si="64"/>
        <v>378351.23</v>
      </c>
      <c r="K303" s="83">
        <f t="shared" si="64"/>
        <v>449442.02</v>
      </c>
      <c r="L303" s="83">
        <f t="shared" si="64"/>
        <v>517036.34</v>
      </c>
      <c r="M303" s="83">
        <f t="shared" si="64"/>
        <v>434875.54000000004</v>
      </c>
      <c r="N303" s="83">
        <f t="shared" si="64"/>
        <v>497786.23</v>
      </c>
      <c r="O303" s="83">
        <f t="shared" si="64"/>
        <v>599586.94000000006</v>
      </c>
      <c r="P303" s="83">
        <f t="shared" si="64"/>
        <v>498701.35</v>
      </c>
      <c r="Q303" s="83">
        <f t="shared" si="64"/>
        <v>538018.41999999993</v>
      </c>
      <c r="R303" s="83">
        <f t="shared" si="64"/>
        <v>551902.79</v>
      </c>
      <c r="S303" s="4">
        <f t="shared" si="64"/>
        <v>564217.18000000005</v>
      </c>
      <c r="T303" s="4">
        <f t="shared" si="64"/>
        <v>646111.05000000005</v>
      </c>
      <c r="U303" s="4">
        <f t="shared" si="64"/>
        <v>737258.44</v>
      </c>
      <c r="V303" s="77"/>
      <c r="W303" s="82"/>
      <c r="X303" s="4"/>
      <c r="Y303" s="4"/>
      <c r="Z303" s="4"/>
      <c r="AA303" s="83"/>
      <c r="AB303" s="83"/>
      <c r="AC303" s="83"/>
      <c r="AD303" s="4"/>
      <c r="AH303" s="23">
        <f>AH$510</f>
        <v>6554125.29</v>
      </c>
      <c r="AJ303" s="23">
        <f>AJ$510</f>
        <v>5207.0499999998137</v>
      </c>
    </row>
    <row r="304" spans="1:43" x14ac:dyDescent="0.2">
      <c r="A304" s="253" t="str">
        <f t="shared" ref="A304:U304" si="65">A$511</f>
        <v>Diocesan Total 2021</v>
      </c>
      <c r="B304" s="253">
        <f t="shared" si="65"/>
        <v>0</v>
      </c>
      <c r="C304" s="253">
        <f t="shared" si="65"/>
        <v>0</v>
      </c>
      <c r="D304" s="259">
        <f t="shared" si="65"/>
        <v>0</v>
      </c>
      <c r="E304" s="253">
        <f t="shared" si="65"/>
        <v>0</v>
      </c>
      <c r="F304" s="253">
        <f t="shared" si="65"/>
        <v>0</v>
      </c>
      <c r="G304" s="206">
        <f t="shared" si="65"/>
        <v>8132853</v>
      </c>
      <c r="H304" s="206">
        <f t="shared" si="65"/>
        <v>6587993.7700000005</v>
      </c>
      <c r="I304" s="207">
        <f t="shared" si="65"/>
        <v>0.81</v>
      </c>
      <c r="J304" s="206">
        <f t="shared" si="65"/>
        <v>340336.86</v>
      </c>
      <c r="K304" s="206">
        <f t="shared" si="65"/>
        <v>407387.73</v>
      </c>
      <c r="L304" s="206">
        <f t="shared" si="65"/>
        <v>497955.59</v>
      </c>
      <c r="M304" s="206">
        <f t="shared" si="65"/>
        <v>513800.89999999997</v>
      </c>
      <c r="N304" s="206">
        <f t="shared" si="65"/>
        <v>483760.16000000003</v>
      </c>
      <c r="O304" s="206">
        <f t="shared" si="65"/>
        <v>527451.71000000008</v>
      </c>
      <c r="P304" s="206">
        <f t="shared" si="65"/>
        <v>582882.6100000001</v>
      </c>
      <c r="Q304" s="206">
        <f t="shared" si="65"/>
        <v>489302.35</v>
      </c>
      <c r="R304" s="206">
        <f t="shared" si="65"/>
        <v>548459.72</v>
      </c>
      <c r="S304" s="206">
        <f t="shared" si="65"/>
        <v>527708.16999999993</v>
      </c>
      <c r="T304" s="206">
        <f t="shared" si="65"/>
        <v>616975.80999999994</v>
      </c>
      <c r="U304" s="206">
        <f t="shared" si="65"/>
        <v>907302.59</v>
      </c>
      <c r="V304" s="206"/>
      <c r="W304" s="206"/>
      <c r="X304" s="206"/>
      <c r="Y304" s="4"/>
      <c r="Z304" s="4"/>
      <c r="AA304" s="206"/>
      <c r="AB304" s="206"/>
      <c r="AC304" s="206"/>
      <c r="AJ304" s="23"/>
    </row>
    <row r="305" spans="1:43" ht="15.75" x14ac:dyDescent="0.25">
      <c r="G305" s="196" t="s">
        <v>13</v>
      </c>
      <c r="Y305" s="4"/>
      <c r="Z305" s="4"/>
      <c r="AH305" s="171" t="s">
        <v>1136</v>
      </c>
      <c r="AI305" s="172"/>
      <c r="AJ305" s="171" t="s">
        <v>1064</v>
      </c>
    </row>
    <row r="306" spans="1:43" x14ac:dyDescent="0.2">
      <c r="Y306" s="4"/>
      <c r="Z306" s="4"/>
      <c r="AH306" s="171" t="s">
        <v>1137</v>
      </c>
      <c r="AI306" s="172"/>
      <c r="AJ306" s="171" t="s">
        <v>1138</v>
      </c>
    </row>
    <row r="307" spans="1:43" ht="16.5" x14ac:dyDescent="0.25">
      <c r="A307" s="250"/>
      <c r="B307" s="8"/>
      <c r="C307" s="8"/>
      <c r="E307" s="8"/>
      <c r="F307" s="8"/>
      <c r="G307" s="208" t="str">
        <f>$G$3</f>
        <v>2022 PARISH SHARE INFORMATION AS AT 31 DECEMBER 2022</v>
      </c>
      <c r="H307" s="209"/>
      <c r="W307" s="194"/>
      <c r="X307"/>
      <c r="Y307" s="4"/>
      <c r="Z307" s="4"/>
      <c r="AA307"/>
      <c r="AB307"/>
      <c r="AC307"/>
      <c r="AH307" s="172"/>
      <c r="AI307" s="172"/>
      <c r="AJ307" s="171" t="s">
        <v>1139</v>
      </c>
    </row>
    <row r="308" spans="1:43" x14ac:dyDescent="0.2">
      <c r="A308" s="250"/>
      <c r="G308" s="205"/>
      <c r="H308" s="197"/>
      <c r="W308" s="194"/>
      <c r="X308"/>
      <c r="Y308" s="4"/>
      <c r="Z308" s="4"/>
      <c r="AA308"/>
      <c r="AB308"/>
      <c r="AC308"/>
    </row>
    <row r="309" spans="1:43" ht="16.5" x14ac:dyDescent="0.25">
      <c r="A309" s="251" t="s">
        <v>1</v>
      </c>
      <c r="B309" s="151" t="str">
        <f>$B$5</f>
        <v>RM</v>
      </c>
      <c r="C309" s="151" t="str">
        <f>$C$5</f>
        <v>RF</v>
      </c>
      <c r="D309" s="151" t="str">
        <f>$D$5</f>
        <v>Accts</v>
      </c>
      <c r="E309" s="151"/>
      <c r="F309" s="151" t="str">
        <f>$F$5</f>
        <v>Share DD</v>
      </c>
      <c r="G309" s="210" t="str">
        <f>$G$5</f>
        <v xml:space="preserve">2022 Share </v>
      </c>
      <c r="H309" s="211" t="str">
        <f>$H$5</f>
        <v xml:space="preserve">2022 Paid </v>
      </c>
      <c r="I309" s="211" t="str">
        <f>$I$5</f>
        <v xml:space="preserve">% Paid </v>
      </c>
      <c r="J309" s="212">
        <f>$J$5</f>
        <v>44592</v>
      </c>
      <c r="K309" s="212">
        <f>$K$5</f>
        <v>44620</v>
      </c>
      <c r="L309" s="212">
        <f>$L$5</f>
        <v>44651</v>
      </c>
      <c r="M309" s="212">
        <f>$M$5</f>
        <v>44681</v>
      </c>
      <c r="N309" s="212">
        <f>$N$5</f>
        <v>44712</v>
      </c>
      <c r="O309" s="212">
        <f>$O$5</f>
        <v>44742</v>
      </c>
      <c r="P309" s="212">
        <f>$P$5</f>
        <v>44773</v>
      </c>
      <c r="Q309" s="212">
        <f>$Q$5</f>
        <v>44804</v>
      </c>
      <c r="R309" s="212">
        <f>$R$5</f>
        <v>44834</v>
      </c>
      <c r="S309" s="155">
        <f>$S$5</f>
        <v>44865</v>
      </c>
      <c r="T309" s="155">
        <f>$T$5</f>
        <v>44895</v>
      </c>
      <c r="U309" s="155">
        <f>$U$5</f>
        <v>44926</v>
      </c>
      <c r="V309" s="78"/>
      <c r="W309" s="195" t="str">
        <f>$W$5</f>
        <v xml:space="preserve">Outstanding </v>
      </c>
      <c r="X309" s="2"/>
      <c r="Y309" s="4"/>
      <c r="Z309" s="4"/>
      <c r="AA309" s="2">
        <f>$AA$5</f>
        <v>44957</v>
      </c>
      <c r="AB309" s="2">
        <f>$AB$5</f>
        <v>44985</v>
      </c>
      <c r="AC309" s="2">
        <f>$AC$5</f>
        <v>45016</v>
      </c>
      <c r="AE309" s="152" t="str">
        <f>$AE$5</f>
        <v>Benefice</v>
      </c>
      <c r="AH309" s="16" t="s">
        <v>1141</v>
      </c>
      <c r="AJ309" s="170" t="s">
        <v>1140</v>
      </c>
      <c r="AQ309" s="222">
        <f>AQ5</f>
        <v>44588</v>
      </c>
    </row>
    <row r="310" spans="1:43" ht="16.5" x14ac:dyDescent="0.25">
      <c r="A310" s="250"/>
      <c r="G310" s="201" t="s">
        <v>1040</v>
      </c>
      <c r="H310" s="202" t="s">
        <v>1040</v>
      </c>
      <c r="I310" s="203"/>
      <c r="J310" s="202" t="s">
        <v>1040</v>
      </c>
      <c r="K310" s="202" t="s">
        <v>1040</v>
      </c>
      <c r="L310" s="202" t="s">
        <v>1040</v>
      </c>
      <c r="M310" s="202" t="s">
        <v>1040</v>
      </c>
      <c r="N310" s="202" t="s">
        <v>1040</v>
      </c>
      <c r="O310" s="202" t="s">
        <v>1040</v>
      </c>
      <c r="P310" s="202" t="s">
        <v>1040</v>
      </c>
      <c r="Q310" s="202" t="s">
        <v>1040</v>
      </c>
      <c r="R310" s="202" t="s">
        <v>1040</v>
      </c>
      <c r="S310" s="147" t="s">
        <v>1040</v>
      </c>
      <c r="T310" s="147" t="s">
        <v>1040</v>
      </c>
      <c r="U310" s="147" t="s">
        <v>1040</v>
      </c>
      <c r="W310" s="194"/>
      <c r="X310"/>
      <c r="Y310" s="4"/>
      <c r="Z310" s="4"/>
      <c r="AA310"/>
      <c r="AB310"/>
      <c r="AC310"/>
      <c r="AJ310" s="23"/>
    </row>
    <row r="311" spans="1:43" x14ac:dyDescent="0.2">
      <c r="Y311" s="4"/>
      <c r="Z311" s="4"/>
      <c r="AJ311" s="23"/>
    </row>
    <row r="312" spans="1:43" x14ac:dyDescent="0.2">
      <c r="A312" s="226" t="s">
        <v>231</v>
      </c>
      <c r="B312" s="9" t="s">
        <v>495</v>
      </c>
      <c r="C312" s="9" t="s">
        <v>495</v>
      </c>
      <c r="D312" s="9">
        <v>0</v>
      </c>
      <c r="E312" s="9"/>
      <c r="F312" s="9">
        <v>0</v>
      </c>
      <c r="G312" s="83">
        <v>12013</v>
      </c>
      <c r="H312" s="83">
        <f t="shared" ref="H312:H326" si="66">SUM(J312:U312)+SUM(AA312:AC312)</f>
        <v>2000</v>
      </c>
      <c r="I312" s="133">
        <f t="shared" ref="I312:I326" si="67">ROUND((H312/G312),4)</f>
        <v>0.16650000000000001</v>
      </c>
      <c r="J312" s="82"/>
      <c r="K312" s="82"/>
      <c r="L312" s="82"/>
      <c r="M312" s="82"/>
      <c r="N312" s="82"/>
      <c r="O312" s="82"/>
      <c r="P312" s="82">
        <v>1000</v>
      </c>
      <c r="Q312" s="82"/>
      <c r="R312" s="82"/>
      <c r="S312" s="23"/>
      <c r="T312" s="23"/>
      <c r="U312" s="23">
        <v>1000</v>
      </c>
      <c r="V312" s="7" t="s">
        <v>711</v>
      </c>
      <c r="W312" s="82">
        <f t="shared" ref="W312:W326" si="68">G312-H312</f>
        <v>10013</v>
      </c>
      <c r="Y312" s="4"/>
      <c r="Z312" s="4"/>
      <c r="AA312" s="82"/>
      <c r="AB312" s="82"/>
      <c r="AC312" s="82"/>
      <c r="AE312" s="7" t="s">
        <v>455</v>
      </c>
      <c r="AH312" s="23">
        <f>SUM('2021 Detail'!J300:U300)+SUM('2021 Detail'!AA300)</f>
        <v>3000</v>
      </c>
      <c r="AJ312" s="23">
        <f t="shared" si="59"/>
        <v>-1000</v>
      </c>
      <c r="AL312" t="str">
        <f t="shared" ref="AL312:AL357" si="69">IF(AJ312&lt;0,"Down",IF(AJ312&gt;0,"Up","Same"))</f>
        <v>Down</v>
      </c>
      <c r="AQ312" s="23">
        <v>1500</v>
      </c>
    </row>
    <row r="313" spans="1:43" x14ac:dyDescent="0.2">
      <c r="A313" s="226" t="s">
        <v>232</v>
      </c>
      <c r="B313" s="9" t="s">
        <v>495</v>
      </c>
      <c r="C313" s="9">
        <v>0</v>
      </c>
      <c r="D313" s="9">
        <v>0</v>
      </c>
      <c r="E313" s="9"/>
      <c r="F313" s="9" t="s">
        <v>495</v>
      </c>
      <c r="G313" s="83">
        <v>67160</v>
      </c>
      <c r="H313" s="83">
        <f t="shared" si="66"/>
        <v>54000</v>
      </c>
      <c r="I313" s="133">
        <f t="shared" si="67"/>
        <v>0.80410000000000004</v>
      </c>
      <c r="J313" s="82">
        <v>4500</v>
      </c>
      <c r="K313" s="82">
        <v>4500</v>
      </c>
      <c r="L313" s="82">
        <v>4500</v>
      </c>
      <c r="M313" s="82">
        <v>4500</v>
      </c>
      <c r="N313" s="82">
        <v>4500</v>
      </c>
      <c r="O313" s="82">
        <v>4500</v>
      </c>
      <c r="P313" s="82">
        <v>4500</v>
      </c>
      <c r="Q313" s="82">
        <v>4500</v>
      </c>
      <c r="R313" s="82">
        <v>4500</v>
      </c>
      <c r="S313" s="23">
        <v>4500</v>
      </c>
      <c r="T313" s="23">
        <v>4500</v>
      </c>
      <c r="U313" s="23">
        <v>4500</v>
      </c>
      <c r="V313" s="7" t="s">
        <v>712</v>
      </c>
      <c r="W313" s="82">
        <f t="shared" si="68"/>
        <v>13160</v>
      </c>
      <c r="Y313" s="4"/>
      <c r="Z313" s="4"/>
      <c r="AA313" s="82"/>
      <c r="AB313" s="82"/>
      <c r="AC313" s="82"/>
      <c r="AE313" s="7" t="s">
        <v>452</v>
      </c>
      <c r="AH313" s="23">
        <f>SUM('2021 Detail'!J301:U301)+SUM('2021 Detail'!AA301)</f>
        <v>67000</v>
      </c>
      <c r="AJ313" s="23">
        <f t="shared" si="59"/>
        <v>-13000</v>
      </c>
      <c r="AL313" t="str">
        <f t="shared" si="69"/>
        <v>Down</v>
      </c>
      <c r="AQ313" s="23">
        <v>21000</v>
      </c>
    </row>
    <row r="314" spans="1:43" x14ac:dyDescent="0.2">
      <c r="A314" s="226" t="s">
        <v>233</v>
      </c>
      <c r="B314" s="9" t="s">
        <v>495</v>
      </c>
      <c r="C314" s="9" t="s">
        <v>495</v>
      </c>
      <c r="D314" s="9">
        <v>0</v>
      </c>
      <c r="E314" s="9"/>
      <c r="F314" s="9" t="s">
        <v>495</v>
      </c>
      <c r="G314" s="83">
        <v>13750</v>
      </c>
      <c r="H314" s="83">
        <f t="shared" si="66"/>
        <v>13750</v>
      </c>
      <c r="I314" s="133">
        <f t="shared" si="67"/>
        <v>1</v>
      </c>
      <c r="J314" s="82">
        <v>1145.8699999999999</v>
      </c>
      <c r="K314" s="82">
        <v>1145.83</v>
      </c>
      <c r="L314" s="82">
        <v>1145.83</v>
      </c>
      <c r="M314" s="82">
        <v>1145.83</v>
      </c>
      <c r="N314" s="82">
        <v>1145.83</v>
      </c>
      <c r="O314" s="82">
        <v>1145.83</v>
      </c>
      <c r="P314" s="82">
        <v>1145.83</v>
      </c>
      <c r="Q314" s="82">
        <v>1145.83</v>
      </c>
      <c r="R314" s="82">
        <v>1145.83</v>
      </c>
      <c r="S314" s="23">
        <v>1145.83</v>
      </c>
      <c r="T314" s="23">
        <v>1145.83</v>
      </c>
      <c r="U314" s="23">
        <v>1145.83</v>
      </c>
      <c r="V314" s="7" t="s">
        <v>713</v>
      </c>
      <c r="W314" s="82">
        <f t="shared" si="68"/>
        <v>0</v>
      </c>
      <c r="Y314" s="4"/>
      <c r="Z314" s="4"/>
      <c r="AA314" s="82"/>
      <c r="AB314" s="82"/>
      <c r="AC314" s="82"/>
      <c r="AE314" s="7" t="s">
        <v>453</v>
      </c>
      <c r="AH314" s="23">
        <f>SUM('2021 Detail'!J302:U302)+SUM('2021 Detail'!AA302)</f>
        <v>13750</v>
      </c>
      <c r="AJ314" s="23">
        <f t="shared" si="59"/>
        <v>0</v>
      </c>
      <c r="AL314" t="str">
        <f t="shared" si="69"/>
        <v>Same</v>
      </c>
      <c r="AQ314" s="23">
        <v>1145.83</v>
      </c>
    </row>
    <row r="315" spans="1:43" x14ac:dyDescent="0.2">
      <c r="A315" s="226" t="s">
        <v>234</v>
      </c>
      <c r="B315" s="9" t="s">
        <v>495</v>
      </c>
      <c r="C315" s="9" t="s">
        <v>495</v>
      </c>
      <c r="D315" s="9" t="s">
        <v>495</v>
      </c>
      <c r="E315" s="9"/>
      <c r="F315" s="9" t="s">
        <v>495</v>
      </c>
      <c r="G315" s="83">
        <v>9400</v>
      </c>
      <c r="H315" s="83">
        <f t="shared" si="66"/>
        <v>9400</v>
      </c>
      <c r="I315" s="133">
        <f t="shared" si="67"/>
        <v>1</v>
      </c>
      <c r="J315" s="82">
        <v>783.37</v>
      </c>
      <c r="K315" s="82">
        <v>783.33</v>
      </c>
      <c r="L315" s="82">
        <v>783.33</v>
      </c>
      <c r="M315" s="82">
        <v>783.33</v>
      </c>
      <c r="N315" s="82">
        <v>783.33</v>
      </c>
      <c r="O315" s="82">
        <v>783.33</v>
      </c>
      <c r="P315" s="82">
        <v>783.33</v>
      </c>
      <c r="Q315" s="82">
        <v>783.33</v>
      </c>
      <c r="R315" s="82">
        <v>783.33</v>
      </c>
      <c r="S315" s="23">
        <v>783.33</v>
      </c>
      <c r="T315" s="23">
        <v>783.33</v>
      </c>
      <c r="U315" s="23">
        <v>783.33</v>
      </c>
      <c r="V315" s="7" t="s">
        <v>714</v>
      </c>
      <c r="W315" s="82">
        <f t="shared" si="68"/>
        <v>0</v>
      </c>
      <c r="Y315" s="4"/>
      <c r="Z315" s="4"/>
      <c r="AA315" s="82"/>
      <c r="AB315" s="82"/>
      <c r="AC315" s="82"/>
      <c r="AE315" s="7" t="s">
        <v>453</v>
      </c>
      <c r="AH315" s="23">
        <f>SUM('2021 Detail'!J303:U303)+SUM('2021 Detail'!AA303)</f>
        <v>9400</v>
      </c>
      <c r="AJ315" s="23">
        <f t="shared" si="59"/>
        <v>0</v>
      </c>
      <c r="AL315" t="str">
        <f t="shared" si="69"/>
        <v>Same</v>
      </c>
      <c r="AQ315" s="23">
        <v>783.33</v>
      </c>
    </row>
    <row r="316" spans="1:43" x14ac:dyDescent="0.2">
      <c r="A316" s="226" t="s">
        <v>235</v>
      </c>
      <c r="B316" s="9" t="s">
        <v>495</v>
      </c>
      <c r="C316" s="9">
        <v>0</v>
      </c>
      <c r="D316" s="9" t="s">
        <v>495</v>
      </c>
      <c r="E316" s="9"/>
      <c r="F316" s="9" t="s">
        <v>495</v>
      </c>
      <c r="G316" s="83">
        <v>63734</v>
      </c>
      <c r="H316" s="83">
        <f t="shared" si="66"/>
        <v>30000</v>
      </c>
      <c r="I316" s="133">
        <f t="shared" si="67"/>
        <v>0.47070000000000001</v>
      </c>
      <c r="J316" s="82">
        <v>2500</v>
      </c>
      <c r="K316" s="82">
        <v>2500</v>
      </c>
      <c r="L316" s="82">
        <v>2500</v>
      </c>
      <c r="M316" s="82">
        <v>2500</v>
      </c>
      <c r="N316" s="82">
        <v>2500</v>
      </c>
      <c r="O316" s="82">
        <v>2500</v>
      </c>
      <c r="P316" s="82">
        <v>2500</v>
      </c>
      <c r="Q316" s="82">
        <v>2500</v>
      </c>
      <c r="R316" s="82">
        <v>2500</v>
      </c>
      <c r="S316" s="23">
        <v>2500</v>
      </c>
      <c r="T316" s="23">
        <v>2500</v>
      </c>
      <c r="U316" s="23">
        <v>2500</v>
      </c>
      <c r="V316" s="7" t="s">
        <v>715</v>
      </c>
      <c r="W316" s="82">
        <f t="shared" si="68"/>
        <v>33734</v>
      </c>
      <c r="Y316" s="4"/>
      <c r="Z316" s="4"/>
      <c r="AA316" s="82"/>
      <c r="AB316" s="82"/>
      <c r="AC316" s="82"/>
      <c r="AE316" s="7" t="s">
        <v>454</v>
      </c>
      <c r="AH316" s="23">
        <f>SUM('2021 Detail'!J304:U304)+SUM('2021 Detail'!AA304)</f>
        <v>28500</v>
      </c>
      <c r="AJ316" s="23">
        <f t="shared" si="59"/>
        <v>1500</v>
      </c>
      <c r="AL316" t="str">
        <f t="shared" si="69"/>
        <v>Up</v>
      </c>
      <c r="AQ316" s="23">
        <v>2500</v>
      </c>
    </row>
    <row r="317" spans="1:43" x14ac:dyDescent="0.2">
      <c r="A317" s="226" t="s">
        <v>236</v>
      </c>
      <c r="B317" s="9" t="s">
        <v>495</v>
      </c>
      <c r="C317" s="9" t="s">
        <v>495</v>
      </c>
      <c r="D317" s="9" t="s">
        <v>495</v>
      </c>
      <c r="E317" s="9"/>
      <c r="F317" s="9" t="s">
        <v>495</v>
      </c>
      <c r="G317" s="83">
        <v>18504</v>
      </c>
      <c r="H317" s="83">
        <f t="shared" si="66"/>
        <v>18504</v>
      </c>
      <c r="I317" s="133">
        <f t="shared" si="67"/>
        <v>1</v>
      </c>
      <c r="J317" s="82">
        <v>1542</v>
      </c>
      <c r="K317" s="82">
        <v>1542</v>
      </c>
      <c r="L317" s="82">
        <v>1542</v>
      </c>
      <c r="M317" s="82">
        <v>1542</v>
      </c>
      <c r="N317" s="82">
        <v>1542</v>
      </c>
      <c r="O317" s="82">
        <v>1542</v>
      </c>
      <c r="P317" s="82">
        <v>1542</v>
      </c>
      <c r="Q317" s="82">
        <v>1542</v>
      </c>
      <c r="R317" s="82">
        <v>1542</v>
      </c>
      <c r="S317" s="23">
        <v>1542</v>
      </c>
      <c r="T317" s="23">
        <v>1542</v>
      </c>
      <c r="U317" s="23">
        <v>1542</v>
      </c>
      <c r="V317" s="7" t="s">
        <v>716</v>
      </c>
      <c r="W317" s="82">
        <f t="shared" si="68"/>
        <v>0</v>
      </c>
      <c r="Y317" s="4"/>
      <c r="Z317" s="4"/>
      <c r="AA317" s="82"/>
      <c r="AB317" s="82"/>
      <c r="AC317" s="82"/>
      <c r="AE317" s="7" t="s">
        <v>454</v>
      </c>
      <c r="AH317" s="23">
        <f>SUM('2021 Detail'!J305:U305)+SUM('2021 Detail'!AA305)</f>
        <v>18503.000000000004</v>
      </c>
      <c r="AJ317" s="23">
        <f t="shared" si="59"/>
        <v>0.99999999999636202</v>
      </c>
      <c r="AL317" t="str">
        <f t="shared" si="69"/>
        <v>Up</v>
      </c>
      <c r="AQ317" s="23">
        <v>1541.95</v>
      </c>
    </row>
    <row r="318" spans="1:43" x14ac:dyDescent="0.2">
      <c r="A318" s="226" t="s">
        <v>237</v>
      </c>
      <c r="B318" s="9" t="s">
        <v>495</v>
      </c>
      <c r="C318" s="9" t="s">
        <v>495</v>
      </c>
      <c r="D318" s="9" t="s">
        <v>495</v>
      </c>
      <c r="E318" s="9"/>
      <c r="F318" s="9">
        <v>0</v>
      </c>
      <c r="G318" s="83">
        <v>46691</v>
      </c>
      <c r="H318" s="83">
        <f t="shared" si="66"/>
        <v>22000</v>
      </c>
      <c r="I318" s="133">
        <f t="shared" si="67"/>
        <v>0.47120000000000001</v>
      </c>
      <c r="J318" s="82"/>
      <c r="K318" s="82"/>
      <c r="L318" s="82">
        <v>3000</v>
      </c>
      <c r="M318" s="82"/>
      <c r="N318" s="82">
        <v>5000</v>
      </c>
      <c r="O318" s="82">
        <v>5000</v>
      </c>
      <c r="P318" s="82"/>
      <c r="Q318" s="82"/>
      <c r="R318" s="82">
        <v>5000</v>
      </c>
      <c r="S318" s="23">
        <v>3000</v>
      </c>
      <c r="T318" s="23">
        <v>1000</v>
      </c>
      <c r="U318" s="23"/>
      <c r="V318" s="7" t="s">
        <v>717</v>
      </c>
      <c r="W318" s="82">
        <f t="shared" si="68"/>
        <v>24691</v>
      </c>
      <c r="Y318" s="4"/>
      <c r="Z318" s="4"/>
      <c r="AA318" s="82"/>
      <c r="AB318" s="82"/>
      <c r="AC318" s="82"/>
      <c r="AE318" s="7" t="s">
        <v>453</v>
      </c>
      <c r="AH318" s="23">
        <f>SUM('2021 Detail'!J306:U306)+SUM('2021 Detail'!AA306)</f>
        <v>26000</v>
      </c>
      <c r="AJ318" s="23">
        <f t="shared" si="59"/>
        <v>-4000</v>
      </c>
      <c r="AL318" t="str">
        <f t="shared" si="69"/>
        <v>Down</v>
      </c>
      <c r="AQ318" s="23">
        <v>4300</v>
      </c>
    </row>
    <row r="319" spans="1:43" x14ac:dyDescent="0.2">
      <c r="A319" s="226" t="s">
        <v>238</v>
      </c>
      <c r="B319" s="9" t="s">
        <v>495</v>
      </c>
      <c r="C319" s="9" t="s">
        <v>495</v>
      </c>
      <c r="D319" s="9" t="s">
        <v>495</v>
      </c>
      <c r="E319" s="9"/>
      <c r="F319" s="9">
        <v>0</v>
      </c>
      <c r="G319" s="83">
        <v>23235</v>
      </c>
      <c r="H319" s="83">
        <f t="shared" si="66"/>
        <v>10000</v>
      </c>
      <c r="I319" s="133">
        <f t="shared" si="67"/>
        <v>0.4304</v>
      </c>
      <c r="J319" s="82"/>
      <c r="K319" s="82"/>
      <c r="L319" s="82"/>
      <c r="M319" s="82"/>
      <c r="N319" s="82"/>
      <c r="O319" s="82"/>
      <c r="P319" s="82"/>
      <c r="Q319" s="82"/>
      <c r="R319" s="82"/>
      <c r="S319" s="23"/>
      <c r="T319" s="23">
        <v>10000</v>
      </c>
      <c r="U319" s="23"/>
      <c r="V319" s="7" t="s">
        <v>718</v>
      </c>
      <c r="W319" s="82">
        <f t="shared" si="68"/>
        <v>13235</v>
      </c>
      <c r="Y319" s="4"/>
      <c r="Z319" s="4"/>
      <c r="AA319" s="82"/>
      <c r="AB319" s="82"/>
      <c r="AC319" s="82"/>
      <c r="AE319" s="7" t="s">
        <v>455</v>
      </c>
      <c r="AH319" s="23">
        <f>SUM('2021 Detail'!J307:U307)+SUM('2021 Detail'!AA307)</f>
        <v>7000</v>
      </c>
      <c r="AJ319" s="23">
        <f t="shared" si="59"/>
        <v>3000</v>
      </c>
      <c r="AL319" t="str">
        <f t="shared" si="69"/>
        <v>Up</v>
      </c>
    </row>
    <row r="320" spans="1:43" x14ac:dyDescent="0.2">
      <c r="A320" s="226" t="s">
        <v>239</v>
      </c>
      <c r="B320" s="9" t="s">
        <v>495</v>
      </c>
      <c r="C320" s="9" t="s">
        <v>495</v>
      </c>
      <c r="D320" s="9" t="s">
        <v>495</v>
      </c>
      <c r="E320" s="9"/>
      <c r="F320" s="9" t="s">
        <v>495</v>
      </c>
      <c r="G320" s="83">
        <v>82673</v>
      </c>
      <c r="H320" s="83">
        <f t="shared" si="66"/>
        <v>82673.000000000015</v>
      </c>
      <c r="I320" s="133">
        <f t="shared" si="67"/>
        <v>1</v>
      </c>
      <c r="J320" s="82">
        <v>6889.49</v>
      </c>
      <c r="K320" s="82">
        <v>6889.41</v>
      </c>
      <c r="L320" s="82">
        <v>6889.41</v>
      </c>
      <c r="M320" s="82">
        <v>6889.41</v>
      </c>
      <c r="N320" s="82">
        <v>6889.41</v>
      </c>
      <c r="O320" s="82">
        <v>6889.41</v>
      </c>
      <c r="P320" s="82">
        <v>6889.41</v>
      </c>
      <c r="Q320" s="82">
        <v>6889.41</v>
      </c>
      <c r="R320" s="82">
        <v>6889.41</v>
      </c>
      <c r="S320" s="23">
        <v>6889.41</v>
      </c>
      <c r="T320" s="23">
        <v>6889.41</v>
      </c>
      <c r="U320" s="23">
        <v>6889.41</v>
      </c>
      <c r="V320" s="7" t="s">
        <v>719</v>
      </c>
      <c r="W320" s="82">
        <f t="shared" si="68"/>
        <v>0</v>
      </c>
      <c r="Y320" s="4"/>
      <c r="Z320" s="4"/>
      <c r="AA320" s="82"/>
      <c r="AB320" s="82"/>
      <c r="AC320" s="82"/>
      <c r="AE320" s="7" t="s">
        <v>456</v>
      </c>
      <c r="AH320" s="23">
        <f>SUM('2021 Detail'!J308:U308)+SUM('2021 Detail'!AA308)</f>
        <v>82673.000000000015</v>
      </c>
      <c r="AJ320" s="23">
        <f t="shared" si="59"/>
        <v>0</v>
      </c>
      <c r="AL320" t="str">
        <f t="shared" si="69"/>
        <v>Same</v>
      </c>
      <c r="AQ320" s="23">
        <v>6889.41</v>
      </c>
    </row>
    <row r="321" spans="1:44" x14ac:dyDescent="0.2">
      <c r="A321" s="226" t="s">
        <v>240</v>
      </c>
      <c r="B321" s="9" t="s">
        <v>495</v>
      </c>
      <c r="C321" s="9">
        <v>0</v>
      </c>
      <c r="D321" s="9">
        <v>0</v>
      </c>
      <c r="E321" s="9"/>
      <c r="F321" s="9" t="s">
        <v>495</v>
      </c>
      <c r="G321" s="83">
        <v>70068</v>
      </c>
      <c r="H321" s="83">
        <f t="shared" si="66"/>
        <v>70068</v>
      </c>
      <c r="I321" s="133">
        <f t="shared" si="67"/>
        <v>1</v>
      </c>
      <c r="J321" s="82">
        <v>5839</v>
      </c>
      <c r="K321" s="82">
        <v>5839</v>
      </c>
      <c r="L321" s="82">
        <v>5839</v>
      </c>
      <c r="M321" s="82">
        <v>5839</v>
      </c>
      <c r="N321" s="82">
        <v>5839</v>
      </c>
      <c r="O321" s="82">
        <v>5839</v>
      </c>
      <c r="P321" s="82">
        <v>5839</v>
      </c>
      <c r="Q321" s="82">
        <v>5839</v>
      </c>
      <c r="R321" s="82">
        <v>5839</v>
      </c>
      <c r="S321" s="23">
        <v>5839</v>
      </c>
      <c r="T321" s="23">
        <v>5839</v>
      </c>
      <c r="U321" s="23">
        <v>5839</v>
      </c>
      <c r="V321" s="7" t="s">
        <v>720</v>
      </c>
      <c r="W321" s="82">
        <f t="shared" si="68"/>
        <v>0</v>
      </c>
      <c r="Y321" s="4"/>
      <c r="Z321" s="4"/>
      <c r="AA321" s="82"/>
      <c r="AB321" s="82"/>
      <c r="AC321" s="82"/>
      <c r="AE321" s="7" t="s">
        <v>458</v>
      </c>
      <c r="AH321" s="23">
        <f>SUM('2021 Detail'!J309:U309)+SUM('2021 Detail'!AA309)</f>
        <v>70068</v>
      </c>
      <c r="AJ321" s="23">
        <f t="shared" si="59"/>
        <v>0</v>
      </c>
      <c r="AL321" t="str">
        <f t="shared" si="69"/>
        <v>Same</v>
      </c>
      <c r="AQ321" s="23">
        <v>5839</v>
      </c>
    </row>
    <row r="322" spans="1:44" x14ac:dyDescent="0.2">
      <c r="A322" s="226" t="s">
        <v>241</v>
      </c>
      <c r="B322" s="9" t="s">
        <v>495</v>
      </c>
      <c r="C322" s="9" t="s">
        <v>495</v>
      </c>
      <c r="D322" s="9">
        <v>0</v>
      </c>
      <c r="E322" s="9"/>
      <c r="F322" s="9">
        <v>0</v>
      </c>
      <c r="G322" s="83">
        <v>6442</v>
      </c>
      <c r="H322" s="83">
        <f t="shared" si="66"/>
        <v>6447</v>
      </c>
      <c r="I322" s="133">
        <f t="shared" si="67"/>
        <v>1.0007999999999999</v>
      </c>
      <c r="J322" s="82">
        <v>537.25</v>
      </c>
      <c r="K322" s="82">
        <v>537.25</v>
      </c>
      <c r="L322" s="82">
        <v>537.25</v>
      </c>
      <c r="M322" s="82">
        <v>537.25</v>
      </c>
      <c r="N322" s="82">
        <v>537.25</v>
      </c>
      <c r="O322" s="82">
        <v>537.25</v>
      </c>
      <c r="P322" s="82">
        <v>537.25</v>
      </c>
      <c r="Q322" s="82">
        <v>537.25</v>
      </c>
      <c r="R322" s="82">
        <v>537.25</v>
      </c>
      <c r="S322" s="23">
        <v>537.25</v>
      </c>
      <c r="T322" s="23">
        <v>537.25</v>
      </c>
      <c r="U322" s="23">
        <v>537.25</v>
      </c>
      <c r="V322" s="7" t="s">
        <v>721</v>
      </c>
      <c r="W322" s="82">
        <f t="shared" si="68"/>
        <v>-5</v>
      </c>
      <c r="Y322" s="4"/>
      <c r="Z322" s="4"/>
      <c r="AA322" s="82"/>
      <c r="AB322" s="82"/>
      <c r="AC322" s="82"/>
      <c r="AE322" s="7" t="s">
        <v>456</v>
      </c>
      <c r="AH322" s="23">
        <f>SUM('2021 Detail'!J310:U310)+SUM('2021 Detail'!AA310)</f>
        <v>6442</v>
      </c>
      <c r="AJ322" s="23">
        <f t="shared" si="59"/>
        <v>5</v>
      </c>
      <c r="AL322" t="str">
        <f t="shared" si="69"/>
        <v>Up</v>
      </c>
      <c r="AQ322" s="23">
        <v>536.83000000000004</v>
      </c>
      <c r="AR322">
        <v>-536.83000000000004</v>
      </c>
    </row>
    <row r="323" spans="1:44" x14ac:dyDescent="0.2">
      <c r="A323" s="226" t="s">
        <v>242</v>
      </c>
      <c r="B323" s="9" t="s">
        <v>495</v>
      </c>
      <c r="C323" s="9" t="s">
        <v>495</v>
      </c>
      <c r="D323" s="9">
        <v>0</v>
      </c>
      <c r="E323" s="9"/>
      <c r="F323" s="9" t="s">
        <v>495</v>
      </c>
      <c r="G323" s="83">
        <v>17823</v>
      </c>
      <c r="H323" s="83">
        <f t="shared" si="66"/>
        <v>12650</v>
      </c>
      <c r="I323" s="133">
        <f t="shared" si="67"/>
        <v>0.70979999999999999</v>
      </c>
      <c r="J323" s="82">
        <v>300</v>
      </c>
      <c r="K323" s="82">
        <v>300</v>
      </c>
      <c r="L323" s="82">
        <v>300</v>
      </c>
      <c r="M323" s="82">
        <v>300</v>
      </c>
      <c r="N323" s="82">
        <v>300</v>
      </c>
      <c r="O323" s="82">
        <v>300</v>
      </c>
      <c r="P323" s="82">
        <v>300</v>
      </c>
      <c r="Q323" s="82">
        <v>1800</v>
      </c>
      <c r="R323" s="82">
        <v>300</v>
      </c>
      <c r="S323" s="23">
        <v>300</v>
      </c>
      <c r="T323" s="23">
        <v>300</v>
      </c>
      <c r="U323" s="23">
        <v>7850</v>
      </c>
      <c r="V323" s="7" t="s">
        <v>722</v>
      </c>
      <c r="W323" s="82">
        <f t="shared" si="68"/>
        <v>5173</v>
      </c>
      <c r="Y323" s="4"/>
      <c r="Z323" s="4"/>
      <c r="AA323" s="82"/>
      <c r="AB323" s="82"/>
      <c r="AC323" s="82"/>
      <c r="AE323" s="7" t="s">
        <v>455</v>
      </c>
      <c r="AH323" s="23">
        <f>SUM('2021 Detail'!J311:U311)+SUM('2021 Detail'!AA311)</f>
        <v>11500</v>
      </c>
      <c r="AJ323" s="23">
        <f t="shared" si="59"/>
        <v>1150</v>
      </c>
      <c r="AL323" t="str">
        <f t="shared" si="69"/>
        <v>Up</v>
      </c>
      <c r="AQ323" s="23">
        <v>3300</v>
      </c>
    </row>
    <row r="324" spans="1:44" x14ac:dyDescent="0.2">
      <c r="A324" s="226" t="s">
        <v>243</v>
      </c>
      <c r="B324" s="9" t="s">
        <v>495</v>
      </c>
      <c r="C324" s="9" t="s">
        <v>495</v>
      </c>
      <c r="D324" s="9">
        <v>0</v>
      </c>
      <c r="E324" s="9"/>
      <c r="F324" s="9">
        <v>0</v>
      </c>
      <c r="G324" s="83">
        <v>14695</v>
      </c>
      <c r="H324" s="83">
        <f t="shared" si="66"/>
        <v>14695</v>
      </c>
      <c r="I324" s="133">
        <f t="shared" si="67"/>
        <v>1</v>
      </c>
      <c r="J324" s="82"/>
      <c r="K324" s="82"/>
      <c r="L324" s="82"/>
      <c r="M324" s="82"/>
      <c r="N324" s="82"/>
      <c r="O324" s="82"/>
      <c r="P324" s="82"/>
      <c r="Q324" s="82"/>
      <c r="R324" s="82"/>
      <c r="S324" s="23"/>
      <c r="T324" s="23"/>
      <c r="U324" s="23"/>
      <c r="V324" s="7" t="s">
        <v>723</v>
      </c>
      <c r="W324" s="82">
        <f t="shared" si="68"/>
        <v>0</v>
      </c>
      <c r="Y324" s="4"/>
      <c r="Z324" s="4"/>
      <c r="AA324" s="82">
        <v>14695</v>
      </c>
      <c r="AB324" s="82"/>
      <c r="AC324" s="82"/>
      <c r="AE324" s="7" t="s">
        <v>455</v>
      </c>
      <c r="AH324" s="23">
        <f>SUM('2021 Detail'!J312:U312)+SUM('2021 Detail'!AA312)</f>
        <v>14695</v>
      </c>
      <c r="AJ324" s="23">
        <f t="shared" si="59"/>
        <v>0</v>
      </c>
      <c r="AL324" t="str">
        <f t="shared" si="69"/>
        <v>Same</v>
      </c>
    </row>
    <row r="325" spans="1:44" x14ac:dyDescent="0.2">
      <c r="A325" s="226" t="s">
        <v>244</v>
      </c>
      <c r="B325" s="9" t="s">
        <v>495</v>
      </c>
      <c r="C325" s="9" t="s">
        <v>495</v>
      </c>
      <c r="D325" s="9" t="s">
        <v>495</v>
      </c>
      <c r="E325" s="9"/>
      <c r="F325" s="9">
        <v>0</v>
      </c>
      <c r="G325" s="83">
        <v>13200</v>
      </c>
      <c r="H325" s="83">
        <f t="shared" si="66"/>
        <v>13200</v>
      </c>
      <c r="I325" s="133">
        <f t="shared" si="67"/>
        <v>1</v>
      </c>
      <c r="J325" s="82"/>
      <c r="K325" s="82"/>
      <c r="L325" s="82"/>
      <c r="M325" s="82"/>
      <c r="N325" s="82"/>
      <c r="O325" s="82">
        <v>6600</v>
      </c>
      <c r="P325" s="82"/>
      <c r="Q325" s="82">
        <v>6600</v>
      </c>
      <c r="R325" s="82"/>
      <c r="S325" s="23"/>
      <c r="T325" s="23"/>
      <c r="U325" s="23"/>
      <c r="V325" s="7" t="s">
        <v>724</v>
      </c>
      <c r="W325" s="82">
        <f t="shared" si="68"/>
        <v>0</v>
      </c>
      <c r="Y325" s="4"/>
      <c r="Z325" s="4"/>
      <c r="AA325" s="82"/>
      <c r="AB325" s="82"/>
      <c r="AC325" s="82"/>
      <c r="AE325" s="7" t="s">
        <v>453</v>
      </c>
      <c r="AH325" s="23">
        <f>SUM('2021 Detail'!J313:U313)+SUM('2021 Detail'!AA313)</f>
        <v>13200</v>
      </c>
      <c r="AJ325" s="23">
        <f t="shared" si="59"/>
        <v>0</v>
      </c>
      <c r="AL325" t="str">
        <f t="shared" si="69"/>
        <v>Same</v>
      </c>
      <c r="AQ325" s="23">
        <v>6000</v>
      </c>
    </row>
    <row r="326" spans="1:44" x14ac:dyDescent="0.2">
      <c r="A326" s="226" t="s">
        <v>245</v>
      </c>
      <c r="B326" s="9" t="s">
        <v>495</v>
      </c>
      <c r="C326" s="9" t="s">
        <v>495</v>
      </c>
      <c r="D326" s="9" t="s">
        <v>495</v>
      </c>
      <c r="E326" s="9"/>
      <c r="F326" s="9">
        <v>0</v>
      </c>
      <c r="G326" s="83">
        <v>59145</v>
      </c>
      <c r="H326" s="83">
        <f t="shared" si="66"/>
        <v>59145</v>
      </c>
      <c r="I326" s="133">
        <f t="shared" si="67"/>
        <v>1</v>
      </c>
      <c r="J326" s="82">
        <v>2000</v>
      </c>
      <c r="K326" s="82">
        <v>2000</v>
      </c>
      <c r="L326" s="82">
        <v>5000</v>
      </c>
      <c r="M326" s="82">
        <v>2000</v>
      </c>
      <c r="N326" s="82">
        <v>2000</v>
      </c>
      <c r="O326" s="82">
        <v>2000</v>
      </c>
      <c r="P326" s="82">
        <v>2000</v>
      </c>
      <c r="Q326" s="82">
        <v>5000</v>
      </c>
      <c r="R326" s="82">
        <v>2000</v>
      </c>
      <c r="S326" s="23">
        <v>2000</v>
      </c>
      <c r="T326" s="23">
        <v>5000</v>
      </c>
      <c r="U326" s="23">
        <v>9145</v>
      </c>
      <c r="V326" s="7" t="s">
        <v>725</v>
      </c>
      <c r="W326" s="82">
        <f t="shared" si="68"/>
        <v>0</v>
      </c>
      <c r="Y326" s="4"/>
      <c r="Z326" s="4"/>
      <c r="AA326" s="82">
        <v>19000</v>
      </c>
      <c r="AB326" s="82"/>
      <c r="AC326" s="82"/>
      <c r="AE326" s="7" t="s">
        <v>457</v>
      </c>
      <c r="AH326" s="23">
        <f>SUM('2021 Detail'!J314:U314)+SUM('2021 Detail'!AA314)</f>
        <v>59145</v>
      </c>
      <c r="AJ326" s="23">
        <f t="shared" si="59"/>
        <v>0</v>
      </c>
      <c r="AL326" t="str">
        <f t="shared" si="69"/>
        <v>Same</v>
      </c>
      <c r="AQ326" s="23">
        <v>28805</v>
      </c>
    </row>
    <row r="327" spans="1:44" x14ac:dyDescent="0.2">
      <c r="G327" s="83"/>
      <c r="H327" s="83"/>
      <c r="I327" s="133"/>
      <c r="Y327" s="4"/>
      <c r="Z327" s="4"/>
      <c r="AJ327" s="23"/>
    </row>
    <row r="328" spans="1:44" x14ac:dyDescent="0.2">
      <c r="A328" s="226" t="s">
        <v>1142</v>
      </c>
      <c r="G328" s="83">
        <f>SUM(G312:G327)</f>
        <v>518533</v>
      </c>
      <c r="H328" s="83">
        <f>SUM(H312:H327)</f>
        <v>418532</v>
      </c>
      <c r="I328" s="133">
        <f t="shared" ref="I328:I329" si="70">ROUND((H328/G328),4)</f>
        <v>0.80710000000000004</v>
      </c>
      <c r="J328" s="83">
        <f>SUM(J312:J327)</f>
        <v>26036.98</v>
      </c>
      <c r="K328" s="83">
        <f t="shared" ref="K328:W328" si="71">SUM(K312:K327)</f>
        <v>26036.82</v>
      </c>
      <c r="L328" s="83">
        <f t="shared" si="71"/>
        <v>32036.82</v>
      </c>
      <c r="M328" s="83">
        <f t="shared" si="71"/>
        <v>26036.82</v>
      </c>
      <c r="N328" s="83">
        <f t="shared" si="71"/>
        <v>31036.82</v>
      </c>
      <c r="O328" s="83">
        <f t="shared" si="71"/>
        <v>37636.82</v>
      </c>
      <c r="P328" s="83">
        <f t="shared" si="71"/>
        <v>27036.82</v>
      </c>
      <c r="Q328" s="83">
        <f t="shared" si="71"/>
        <v>37136.82</v>
      </c>
      <c r="R328" s="83">
        <f t="shared" si="71"/>
        <v>31036.82</v>
      </c>
      <c r="S328" s="4">
        <f t="shared" si="71"/>
        <v>29036.82</v>
      </c>
      <c r="T328" s="4">
        <f t="shared" si="71"/>
        <v>40036.82</v>
      </c>
      <c r="U328" s="4">
        <f t="shared" si="71"/>
        <v>41731.82</v>
      </c>
      <c r="V328" s="77"/>
      <c r="W328" s="82">
        <f t="shared" si="71"/>
        <v>100001</v>
      </c>
      <c r="Y328" s="4"/>
      <c r="Z328" s="4"/>
      <c r="AA328" s="83">
        <f t="shared" ref="AA328:AC328" si="72">SUM(AA312:AA327)</f>
        <v>33695</v>
      </c>
      <c r="AB328" s="83">
        <f t="shared" si="72"/>
        <v>0</v>
      </c>
      <c r="AC328" s="83">
        <f t="shared" si="72"/>
        <v>0</v>
      </c>
      <c r="AD328" s="4"/>
      <c r="AH328" s="23">
        <f>SUM(AH312:AH327)</f>
        <v>430876</v>
      </c>
      <c r="AJ328" s="23">
        <f t="shared" si="59"/>
        <v>-12344</v>
      </c>
      <c r="AM328" s="11">
        <f>SUM(J328:R328)+SUM(S329:U329)+SUM('2020 detail'!AA315:AC315)</f>
        <v>433780.59000000008</v>
      </c>
      <c r="AN328" s="24">
        <f>ROUND((AM328/G328),4)</f>
        <v>0.83660000000000001</v>
      </c>
      <c r="AO328" s="24">
        <f>ROUND((SUM(J329:U329)/G329),4)</f>
        <v>0.82050000000000001</v>
      </c>
      <c r="AQ328" s="23">
        <f>SUM(AQ312:AQ327)</f>
        <v>84141.35</v>
      </c>
      <c r="AR328">
        <v>-536.83000000000004</v>
      </c>
    </row>
    <row r="329" spans="1:44" x14ac:dyDescent="0.2">
      <c r="A329" s="253" t="s">
        <v>1056</v>
      </c>
      <c r="G329" s="206">
        <f>'2021 Detail'!G316</f>
        <v>518541</v>
      </c>
      <c r="H329" s="206">
        <f>SUM(J329:U329)+SUM(AA329:AC329)</f>
        <v>449376</v>
      </c>
      <c r="I329" s="207">
        <f t="shared" si="70"/>
        <v>0.86660000000000004</v>
      </c>
      <c r="J329" s="206">
        <f>'2021 Detail'!J316</f>
        <v>25999.199999999997</v>
      </c>
      <c r="K329" s="206">
        <f>'2021 Detail'!K316</f>
        <v>27073.3</v>
      </c>
      <c r="L329" s="206">
        <f>'2021 Detail'!L316</f>
        <v>27236.350000000002</v>
      </c>
      <c r="M329" s="206">
        <f>'2021 Detail'!M316</f>
        <v>25036.350000000002</v>
      </c>
      <c r="N329" s="206">
        <f>'2021 Detail'!N316</f>
        <v>25036.350000000002</v>
      </c>
      <c r="O329" s="206">
        <f>'2021 Detail'!O316</f>
        <v>45236.350000000006</v>
      </c>
      <c r="P329" s="206">
        <f>'2021 Detail'!P316</f>
        <v>25036.350000000002</v>
      </c>
      <c r="Q329" s="206">
        <f>'2021 Detail'!Q316</f>
        <v>29536.350000000002</v>
      </c>
      <c r="R329" s="206">
        <f>'2021 Detail'!R316</f>
        <v>35536.350000000006</v>
      </c>
      <c r="S329" s="206">
        <f>'2021 Detail'!S316</f>
        <v>29876.350000000002</v>
      </c>
      <c r="T329" s="206">
        <f>'2021 Detail'!T316</f>
        <v>45731.350000000006</v>
      </c>
      <c r="U329" s="206">
        <f>'2021 Detail'!U316</f>
        <v>84141.35</v>
      </c>
      <c r="V329" s="206"/>
      <c r="W329" s="206"/>
      <c r="X329" s="206"/>
      <c r="Y329" s="4"/>
      <c r="Z329" s="4"/>
      <c r="AA329" s="206">
        <f>'2021 Detail'!AA316</f>
        <v>5400</v>
      </c>
      <c r="AB329" s="206">
        <f>'2021 Detail'!AB316</f>
        <v>18500</v>
      </c>
      <c r="AC329" s="206">
        <f>'2021 Detail'!AC316</f>
        <v>0</v>
      </c>
      <c r="AJ329" s="23"/>
    </row>
    <row r="330" spans="1:44" x14ac:dyDescent="0.2">
      <c r="Y330" s="4"/>
      <c r="Z330" s="4"/>
      <c r="AJ330" s="23"/>
    </row>
    <row r="331" spans="1:44" x14ac:dyDescent="0.2">
      <c r="A331" s="226" t="str">
        <f t="shared" ref="A331:U331" si="73">A$510</f>
        <v>Diocesan Total 2022</v>
      </c>
      <c r="B331" s="226">
        <f t="shared" si="73"/>
        <v>0</v>
      </c>
      <c r="C331" s="226">
        <f t="shared" si="73"/>
        <v>0</v>
      </c>
      <c r="D331" s="258">
        <f t="shared" si="73"/>
        <v>0</v>
      </c>
      <c r="E331" s="226">
        <f t="shared" si="73"/>
        <v>0</v>
      </c>
      <c r="F331" s="226">
        <f t="shared" si="73"/>
        <v>0</v>
      </c>
      <c r="G331" s="83">
        <f t="shared" si="73"/>
        <v>8116012</v>
      </c>
      <c r="H331" s="83">
        <f t="shared" si="73"/>
        <v>6559332.3399999999</v>
      </c>
      <c r="I331" s="133">
        <f t="shared" si="73"/>
        <v>0.80820000000000003</v>
      </c>
      <c r="J331" s="83">
        <f t="shared" si="73"/>
        <v>378351.23</v>
      </c>
      <c r="K331" s="83">
        <f t="shared" si="73"/>
        <v>449442.02</v>
      </c>
      <c r="L331" s="83">
        <f t="shared" si="73"/>
        <v>517036.34</v>
      </c>
      <c r="M331" s="83">
        <f t="shared" si="73"/>
        <v>434875.54000000004</v>
      </c>
      <c r="N331" s="83">
        <f t="shared" si="73"/>
        <v>497786.23</v>
      </c>
      <c r="O331" s="83">
        <f t="shared" si="73"/>
        <v>599586.94000000006</v>
      </c>
      <c r="P331" s="83">
        <f t="shared" si="73"/>
        <v>498701.35</v>
      </c>
      <c r="Q331" s="83">
        <f t="shared" si="73"/>
        <v>538018.41999999993</v>
      </c>
      <c r="R331" s="83">
        <f t="shared" si="73"/>
        <v>551902.79</v>
      </c>
      <c r="S331" s="4">
        <f t="shared" si="73"/>
        <v>564217.18000000005</v>
      </c>
      <c r="T331" s="4">
        <f t="shared" si="73"/>
        <v>646111.05000000005</v>
      </c>
      <c r="U331" s="4">
        <f t="shared" si="73"/>
        <v>737258.44</v>
      </c>
      <c r="V331" s="77"/>
      <c r="W331" s="82"/>
      <c r="X331" s="4"/>
      <c r="Y331" s="4"/>
      <c r="Z331" s="4"/>
      <c r="AA331" s="83"/>
      <c r="AB331" s="83"/>
      <c r="AC331" s="83"/>
      <c r="AD331" s="4"/>
      <c r="AH331" s="23">
        <f>AH$510</f>
        <v>6554125.29</v>
      </c>
      <c r="AJ331" s="23">
        <f>AJ$510</f>
        <v>5207.0499999998137</v>
      </c>
    </row>
    <row r="332" spans="1:44" x14ac:dyDescent="0.2">
      <c r="A332" s="253" t="str">
        <f t="shared" ref="A332:U332" si="74">A$511</f>
        <v>Diocesan Total 2021</v>
      </c>
      <c r="B332" s="253">
        <f t="shared" si="74"/>
        <v>0</v>
      </c>
      <c r="C332" s="253">
        <f t="shared" si="74"/>
        <v>0</v>
      </c>
      <c r="D332" s="259">
        <f t="shared" si="74"/>
        <v>0</v>
      </c>
      <c r="E332" s="253">
        <f t="shared" si="74"/>
        <v>0</v>
      </c>
      <c r="F332" s="253">
        <f t="shared" si="74"/>
        <v>0</v>
      </c>
      <c r="G332" s="206">
        <f t="shared" si="74"/>
        <v>8132853</v>
      </c>
      <c r="H332" s="206">
        <f>SUM(J332:U332)+SUM(AA332:AC332)</f>
        <v>6443324.1999999993</v>
      </c>
      <c r="I332" s="207">
        <f t="shared" si="74"/>
        <v>0.81</v>
      </c>
      <c r="J332" s="206">
        <f t="shared" si="74"/>
        <v>340336.86</v>
      </c>
      <c r="K332" s="206">
        <f t="shared" si="74"/>
        <v>407387.73</v>
      </c>
      <c r="L332" s="206">
        <f t="shared" si="74"/>
        <v>497955.59</v>
      </c>
      <c r="M332" s="206">
        <f t="shared" si="74"/>
        <v>513800.89999999997</v>
      </c>
      <c r="N332" s="206">
        <f t="shared" si="74"/>
        <v>483760.16000000003</v>
      </c>
      <c r="O332" s="206">
        <f t="shared" si="74"/>
        <v>527451.71000000008</v>
      </c>
      <c r="P332" s="206">
        <f t="shared" si="74"/>
        <v>582882.6100000001</v>
      </c>
      <c r="Q332" s="206">
        <f t="shared" si="74"/>
        <v>489302.35</v>
      </c>
      <c r="R332" s="206">
        <f t="shared" si="74"/>
        <v>548459.72</v>
      </c>
      <c r="S332" s="206">
        <f t="shared" si="74"/>
        <v>527708.16999999993</v>
      </c>
      <c r="T332" s="206">
        <f t="shared" si="74"/>
        <v>616975.80999999994</v>
      </c>
      <c r="U332" s="206">
        <f t="shared" si="74"/>
        <v>907302.59</v>
      </c>
      <c r="V332" s="206"/>
      <c r="W332" s="206"/>
      <c r="X332" s="206"/>
      <c r="Y332" s="4"/>
      <c r="Z332" s="4"/>
      <c r="AA332" s="206"/>
      <c r="AB332" s="206"/>
      <c r="AC332" s="206"/>
      <c r="AJ332" s="23"/>
    </row>
    <row r="333" spans="1:44" ht="15.75" x14ac:dyDescent="0.25">
      <c r="G333" s="196" t="s">
        <v>14</v>
      </c>
      <c r="Y333" s="4"/>
      <c r="Z333" s="4"/>
      <c r="AH333" s="171" t="s">
        <v>1136</v>
      </c>
      <c r="AI333" s="172"/>
      <c r="AJ333" s="171" t="s">
        <v>1064</v>
      </c>
    </row>
    <row r="334" spans="1:44" x14ac:dyDescent="0.2">
      <c r="Y334" s="4"/>
      <c r="Z334" s="4"/>
      <c r="AH334" s="171" t="s">
        <v>1137</v>
      </c>
      <c r="AI334" s="172"/>
      <c r="AJ334" s="171" t="s">
        <v>1138</v>
      </c>
    </row>
    <row r="335" spans="1:44" ht="16.5" x14ac:dyDescent="0.25">
      <c r="A335" s="250"/>
      <c r="B335" s="8"/>
      <c r="C335" s="8"/>
      <c r="E335" s="8"/>
      <c r="F335" s="8"/>
      <c r="G335" s="208" t="str">
        <f>$G$3</f>
        <v>2022 PARISH SHARE INFORMATION AS AT 31 DECEMBER 2022</v>
      </c>
      <c r="H335" s="209"/>
      <c r="W335" s="194"/>
      <c r="X335"/>
      <c r="Y335" s="4"/>
      <c r="Z335" s="4"/>
      <c r="AA335"/>
      <c r="AB335"/>
      <c r="AC335"/>
      <c r="AH335" s="172"/>
      <c r="AI335" s="172"/>
      <c r="AJ335" s="171" t="s">
        <v>1139</v>
      </c>
    </row>
    <row r="336" spans="1:44" x14ac:dyDescent="0.2">
      <c r="A336" s="250"/>
      <c r="G336" s="205"/>
      <c r="H336" s="197"/>
      <c r="W336" s="194"/>
      <c r="X336"/>
      <c r="Y336" s="4"/>
      <c r="Z336" s="4"/>
      <c r="AA336"/>
      <c r="AB336"/>
      <c r="AC336"/>
    </row>
    <row r="337" spans="1:43" ht="16.5" x14ac:dyDescent="0.25">
      <c r="A337" s="251" t="s">
        <v>1</v>
      </c>
      <c r="B337" s="151" t="str">
        <f>$B$5</f>
        <v>RM</v>
      </c>
      <c r="C337" s="151" t="str">
        <f>$C$5</f>
        <v>RF</v>
      </c>
      <c r="D337" s="151" t="str">
        <f>$D$5</f>
        <v>Accts</v>
      </c>
      <c r="E337" s="151"/>
      <c r="F337" s="151" t="str">
        <f>$F$5</f>
        <v>Share DD</v>
      </c>
      <c r="G337" s="210" t="str">
        <f>$G$5</f>
        <v xml:space="preserve">2022 Share </v>
      </c>
      <c r="H337" s="211" t="str">
        <f>$H$5</f>
        <v xml:space="preserve">2022 Paid </v>
      </c>
      <c r="I337" s="211" t="str">
        <f>$I$5</f>
        <v xml:space="preserve">% Paid </v>
      </c>
      <c r="J337" s="212">
        <f>$J$5</f>
        <v>44592</v>
      </c>
      <c r="K337" s="212">
        <f>$K$5</f>
        <v>44620</v>
      </c>
      <c r="L337" s="212">
        <f>$L$5</f>
        <v>44651</v>
      </c>
      <c r="M337" s="212">
        <f>$M$5</f>
        <v>44681</v>
      </c>
      <c r="N337" s="212">
        <f>$N$5</f>
        <v>44712</v>
      </c>
      <c r="O337" s="212">
        <f>$O$5</f>
        <v>44742</v>
      </c>
      <c r="P337" s="212">
        <f>$P$5</f>
        <v>44773</v>
      </c>
      <c r="Q337" s="212">
        <f>$Q$5</f>
        <v>44804</v>
      </c>
      <c r="R337" s="212">
        <f>$R$5</f>
        <v>44834</v>
      </c>
      <c r="S337" s="155">
        <f>$S$5</f>
        <v>44865</v>
      </c>
      <c r="T337" s="155">
        <f>$T$5</f>
        <v>44895</v>
      </c>
      <c r="U337" s="155">
        <f>$U$5</f>
        <v>44926</v>
      </c>
      <c r="V337" s="78"/>
      <c r="W337" s="195" t="str">
        <f>$W$5</f>
        <v xml:space="preserve">Outstanding </v>
      </c>
      <c r="X337" s="2"/>
      <c r="Y337" s="4"/>
      <c r="Z337" s="4"/>
      <c r="AA337" s="2">
        <f>$AA$5</f>
        <v>44957</v>
      </c>
      <c r="AB337" s="2">
        <f>$AB$5</f>
        <v>44985</v>
      </c>
      <c r="AC337" s="2">
        <f>$AC$5</f>
        <v>45016</v>
      </c>
      <c r="AE337" s="152" t="str">
        <f>$AE$5</f>
        <v>Benefice</v>
      </c>
      <c r="AH337" s="16" t="s">
        <v>1141</v>
      </c>
      <c r="AJ337" s="170" t="s">
        <v>1140</v>
      </c>
      <c r="AQ337" s="222">
        <f>AQ5</f>
        <v>44588</v>
      </c>
    </row>
    <row r="338" spans="1:43" ht="16.5" x14ac:dyDescent="0.25">
      <c r="A338" s="250"/>
      <c r="G338" s="201" t="s">
        <v>1040</v>
      </c>
      <c r="H338" s="202" t="s">
        <v>1040</v>
      </c>
      <c r="I338" s="203"/>
      <c r="J338" s="202" t="s">
        <v>1040</v>
      </c>
      <c r="K338" s="202" t="s">
        <v>1040</v>
      </c>
      <c r="L338" s="202" t="s">
        <v>1040</v>
      </c>
      <c r="M338" s="202" t="s">
        <v>1040</v>
      </c>
      <c r="N338" s="202" t="s">
        <v>1040</v>
      </c>
      <c r="O338" s="202" t="s">
        <v>1040</v>
      </c>
      <c r="P338" s="202" t="s">
        <v>1040</v>
      </c>
      <c r="Q338" s="202" t="s">
        <v>1040</v>
      </c>
      <c r="R338" s="202" t="s">
        <v>1040</v>
      </c>
      <c r="S338" s="147" t="s">
        <v>1040</v>
      </c>
      <c r="T338" s="147" t="s">
        <v>1040</v>
      </c>
      <c r="U338" s="147" t="s">
        <v>1040</v>
      </c>
      <c r="W338" s="194"/>
      <c r="X338"/>
      <c r="Y338" s="4"/>
      <c r="Z338" s="4"/>
      <c r="AA338"/>
      <c r="AB338"/>
      <c r="AC338"/>
      <c r="AJ338" s="23"/>
    </row>
    <row r="339" spans="1:43" x14ac:dyDescent="0.2">
      <c r="Y339" s="4"/>
      <c r="Z339" s="4"/>
      <c r="AJ339" s="23"/>
    </row>
    <row r="340" spans="1:43" x14ac:dyDescent="0.2">
      <c r="A340" s="226" t="s">
        <v>246</v>
      </c>
      <c r="B340" s="9" t="s">
        <v>495</v>
      </c>
      <c r="C340" s="9" t="s">
        <v>495</v>
      </c>
      <c r="D340" s="9">
        <v>0</v>
      </c>
      <c r="E340" s="9"/>
      <c r="F340" s="9">
        <v>0</v>
      </c>
      <c r="G340" s="83">
        <v>14448</v>
      </c>
      <c r="H340" s="83">
        <f t="shared" ref="H340:H357" si="75">SUM(J340:U340)+SUM(AA340:AC340)</f>
        <v>8000</v>
      </c>
      <c r="I340" s="133">
        <f t="shared" ref="I340:I357" si="76">ROUND((H340/G340),4)</f>
        <v>0.55369999999999997</v>
      </c>
      <c r="J340" s="82"/>
      <c r="K340" s="82"/>
      <c r="L340" s="82"/>
      <c r="M340" s="82"/>
      <c r="N340" s="82">
        <v>2500</v>
      </c>
      <c r="O340" s="82"/>
      <c r="P340" s="82">
        <v>2500</v>
      </c>
      <c r="Q340" s="82"/>
      <c r="R340" s="82"/>
      <c r="S340" s="23"/>
      <c r="T340" s="23">
        <v>2500</v>
      </c>
      <c r="U340" s="23">
        <v>500</v>
      </c>
      <c r="V340" s="7" t="s">
        <v>726</v>
      </c>
      <c r="W340" s="82">
        <f t="shared" ref="W340:W357" si="77">G340-H340</f>
        <v>6448</v>
      </c>
      <c r="Y340" s="4"/>
      <c r="Z340" s="4"/>
      <c r="AA340" s="82"/>
      <c r="AB340" s="82"/>
      <c r="AC340" s="82"/>
      <c r="AD340" s="23"/>
      <c r="AE340" s="7" t="s">
        <v>463</v>
      </c>
      <c r="AH340" s="23">
        <f>SUM('2021 Detail'!J326:U326)+SUM('2021 Detail'!AA326)</f>
        <v>12000</v>
      </c>
      <c r="AJ340" s="23">
        <f t="shared" si="59"/>
        <v>-4000</v>
      </c>
      <c r="AL340" t="str">
        <f t="shared" si="69"/>
        <v>Down</v>
      </c>
      <c r="AQ340" s="23">
        <v>5000</v>
      </c>
    </row>
    <row r="341" spans="1:43" x14ac:dyDescent="0.2">
      <c r="A341" s="226" t="s">
        <v>247</v>
      </c>
      <c r="B341" s="9" t="s">
        <v>495</v>
      </c>
      <c r="C341" s="9" t="s">
        <v>495</v>
      </c>
      <c r="D341" s="9" t="s">
        <v>495</v>
      </c>
      <c r="E341" s="9"/>
      <c r="F341" s="9">
        <v>0</v>
      </c>
      <c r="G341" s="83">
        <v>6691</v>
      </c>
      <c r="H341" s="83">
        <f t="shared" si="75"/>
        <v>5300</v>
      </c>
      <c r="I341" s="133">
        <f t="shared" si="76"/>
        <v>0.79210000000000003</v>
      </c>
      <c r="J341" s="82"/>
      <c r="K341" s="82"/>
      <c r="L341" s="82"/>
      <c r="M341" s="82"/>
      <c r="N341" s="82"/>
      <c r="O341" s="82"/>
      <c r="P341" s="82"/>
      <c r="Q341" s="82"/>
      <c r="R341" s="82"/>
      <c r="S341" s="23">
        <v>2000</v>
      </c>
      <c r="T341" s="23"/>
      <c r="U341" s="23">
        <v>3300</v>
      </c>
      <c r="V341" s="7" t="s">
        <v>727</v>
      </c>
      <c r="W341" s="82">
        <f t="shared" si="77"/>
        <v>1391</v>
      </c>
      <c r="Y341" s="4"/>
      <c r="Z341" s="4"/>
      <c r="AA341" s="82"/>
      <c r="AB341" s="82"/>
      <c r="AC341" s="82"/>
      <c r="AD341" s="23"/>
      <c r="AE341" s="7" t="s">
        <v>463</v>
      </c>
      <c r="AH341" s="23">
        <f>SUM('2021 Detail'!J327:U327)+SUM('2021 Detail'!AA327)</f>
        <v>0</v>
      </c>
      <c r="AJ341" s="23">
        <f t="shared" si="59"/>
        <v>5300</v>
      </c>
      <c r="AL341" t="str">
        <f t="shared" si="69"/>
        <v>Up</v>
      </c>
    </row>
    <row r="342" spans="1:43" x14ac:dyDescent="0.2">
      <c r="A342" s="226" t="s">
        <v>248</v>
      </c>
      <c r="B342" s="9" t="s">
        <v>495</v>
      </c>
      <c r="C342" s="9" t="s">
        <v>495</v>
      </c>
      <c r="D342" s="9" t="s">
        <v>495</v>
      </c>
      <c r="E342" s="9"/>
      <c r="F342" s="9">
        <v>0</v>
      </c>
      <c r="G342" s="83">
        <v>2289</v>
      </c>
      <c r="H342" s="83">
        <f t="shared" si="75"/>
        <v>2289</v>
      </c>
      <c r="I342" s="133">
        <f t="shared" si="76"/>
        <v>1</v>
      </c>
      <c r="J342" s="82"/>
      <c r="K342" s="82"/>
      <c r="L342" s="82"/>
      <c r="M342" s="82"/>
      <c r="N342" s="82"/>
      <c r="O342" s="82">
        <v>1144.5</v>
      </c>
      <c r="P342" s="82"/>
      <c r="Q342" s="82"/>
      <c r="R342" s="82"/>
      <c r="S342" s="23"/>
      <c r="T342" s="23">
        <v>1144.5</v>
      </c>
      <c r="U342" s="23"/>
      <c r="V342" s="7" t="s">
        <v>728</v>
      </c>
      <c r="W342" s="82">
        <f t="shared" si="77"/>
        <v>0</v>
      </c>
      <c r="Y342" s="4"/>
      <c r="Z342" s="4"/>
      <c r="AA342" s="82"/>
      <c r="AB342" s="82"/>
      <c r="AC342" s="82"/>
      <c r="AD342" s="23"/>
      <c r="AE342" s="7" t="s">
        <v>463</v>
      </c>
      <c r="AH342" s="23">
        <f>SUM('2021 Detail'!J328:U328)+SUM('2021 Detail'!AA328)</f>
        <v>2289</v>
      </c>
      <c r="AJ342" s="23">
        <f t="shared" si="59"/>
        <v>0</v>
      </c>
      <c r="AL342" t="str">
        <f t="shared" si="69"/>
        <v>Same</v>
      </c>
      <c r="AQ342" s="23">
        <v>1289</v>
      </c>
    </row>
    <row r="343" spans="1:43" x14ac:dyDescent="0.2">
      <c r="A343" s="226" t="s">
        <v>249</v>
      </c>
      <c r="B343" s="9" t="s">
        <v>495</v>
      </c>
      <c r="C343" s="9" t="s">
        <v>495</v>
      </c>
      <c r="D343" s="9" t="s">
        <v>495</v>
      </c>
      <c r="E343" s="9"/>
      <c r="F343" s="9" t="s">
        <v>495</v>
      </c>
      <c r="G343" s="83">
        <v>10436</v>
      </c>
      <c r="H343" s="83">
        <f t="shared" si="75"/>
        <v>8130</v>
      </c>
      <c r="I343" s="133">
        <f t="shared" si="76"/>
        <v>0.77900000000000003</v>
      </c>
      <c r="J343" s="82">
        <v>460</v>
      </c>
      <c r="K343" s="82">
        <v>460</v>
      </c>
      <c r="L343" s="82">
        <v>460</v>
      </c>
      <c r="M343" s="82">
        <v>750</v>
      </c>
      <c r="N343" s="82">
        <v>750</v>
      </c>
      <c r="O343" s="82">
        <v>750</v>
      </c>
      <c r="P343" s="82">
        <v>750</v>
      </c>
      <c r="Q343" s="82">
        <v>750</v>
      </c>
      <c r="R343" s="82">
        <v>750</v>
      </c>
      <c r="S343" s="23">
        <v>750</v>
      </c>
      <c r="T343" s="23">
        <v>750</v>
      </c>
      <c r="U343" s="23">
        <v>750</v>
      </c>
      <c r="V343" s="7" t="s">
        <v>729</v>
      </c>
      <c r="W343" s="82">
        <f t="shared" si="77"/>
        <v>2306</v>
      </c>
      <c r="Y343" s="4"/>
      <c r="Z343" s="4"/>
      <c r="AA343" s="82"/>
      <c r="AB343" s="82"/>
      <c r="AC343" s="82"/>
      <c r="AD343" s="23"/>
      <c r="AE343" s="7" t="s">
        <v>459</v>
      </c>
      <c r="AH343" s="23">
        <f>SUM('2021 Detail'!J329:U329)+SUM('2021 Detail'!AA329)</f>
        <v>6480</v>
      </c>
      <c r="AJ343" s="23">
        <f t="shared" ref="AJ343:AJ406" si="78">H343-AH343</f>
        <v>1650</v>
      </c>
      <c r="AL343" t="str">
        <f t="shared" si="69"/>
        <v>Up</v>
      </c>
      <c r="AQ343" s="23">
        <v>460</v>
      </c>
    </row>
    <row r="344" spans="1:43" x14ac:dyDescent="0.2">
      <c r="A344" s="226" t="s">
        <v>250</v>
      </c>
      <c r="B344" s="9" t="s">
        <v>495</v>
      </c>
      <c r="C344" s="9" t="s">
        <v>495</v>
      </c>
      <c r="D344" s="9" t="s">
        <v>495</v>
      </c>
      <c r="E344" s="9"/>
      <c r="F344" s="9" t="s">
        <v>495</v>
      </c>
      <c r="G344" s="83">
        <v>17392</v>
      </c>
      <c r="H344" s="83">
        <f t="shared" si="75"/>
        <v>10000</v>
      </c>
      <c r="I344" s="133">
        <f t="shared" si="76"/>
        <v>0.57499999999999996</v>
      </c>
      <c r="J344" s="82">
        <v>833.37</v>
      </c>
      <c r="K344" s="82">
        <v>833.33</v>
      </c>
      <c r="L344" s="82">
        <v>833.33</v>
      </c>
      <c r="M344" s="82">
        <v>833.33</v>
      </c>
      <c r="N344" s="82">
        <v>833.33</v>
      </c>
      <c r="O344" s="82">
        <v>833.33</v>
      </c>
      <c r="P344" s="82">
        <v>833.33</v>
      </c>
      <c r="Q344" s="82">
        <v>833.33</v>
      </c>
      <c r="R344" s="82">
        <v>833.33</v>
      </c>
      <c r="S344" s="23">
        <v>833.33</v>
      </c>
      <c r="T344" s="23">
        <v>833.33</v>
      </c>
      <c r="U344" s="23">
        <v>833.33</v>
      </c>
      <c r="V344" s="7" t="s">
        <v>730</v>
      </c>
      <c r="W344" s="82">
        <f t="shared" si="77"/>
        <v>7392</v>
      </c>
      <c r="Y344" s="4"/>
      <c r="Z344" s="4"/>
      <c r="AA344" s="82"/>
      <c r="AB344" s="82"/>
      <c r="AC344" s="82"/>
      <c r="AD344" s="23"/>
      <c r="AE344" s="7" t="s">
        <v>459</v>
      </c>
      <c r="AH344" s="23">
        <f>SUM('2021 Detail'!J330:U330)+SUM('2021 Detail'!AA330)</f>
        <v>11600</v>
      </c>
      <c r="AJ344" s="23">
        <f t="shared" si="78"/>
        <v>-1600</v>
      </c>
      <c r="AL344" t="str">
        <f t="shared" si="69"/>
        <v>Down</v>
      </c>
      <c r="AQ344" s="23">
        <v>965</v>
      </c>
    </row>
    <row r="345" spans="1:43" x14ac:dyDescent="0.2">
      <c r="A345" s="226" t="s">
        <v>251</v>
      </c>
      <c r="B345" s="9" t="s">
        <v>495</v>
      </c>
      <c r="C345" s="9" t="s">
        <v>495</v>
      </c>
      <c r="D345" s="9" t="s">
        <v>495</v>
      </c>
      <c r="E345" s="9"/>
      <c r="F345" s="9" t="s">
        <v>495</v>
      </c>
      <c r="G345" s="83">
        <v>68537</v>
      </c>
      <c r="H345" s="83">
        <f t="shared" si="75"/>
        <v>68537.000000000015</v>
      </c>
      <c r="I345" s="133">
        <f t="shared" si="76"/>
        <v>1</v>
      </c>
      <c r="J345" s="82">
        <v>5711.49</v>
      </c>
      <c r="K345" s="82">
        <v>5711.41</v>
      </c>
      <c r="L345" s="82">
        <v>5711.41</v>
      </c>
      <c r="M345" s="82">
        <v>5711.41</v>
      </c>
      <c r="N345" s="82">
        <v>5711.41</v>
      </c>
      <c r="O345" s="82">
        <v>5711.41</v>
      </c>
      <c r="P345" s="82">
        <v>5711.41</v>
      </c>
      <c r="Q345" s="82">
        <v>5711.41</v>
      </c>
      <c r="R345" s="82">
        <v>5711.41</v>
      </c>
      <c r="S345" s="23">
        <v>5711.41</v>
      </c>
      <c r="T345" s="23">
        <v>5711.41</v>
      </c>
      <c r="U345" s="23">
        <v>5711.41</v>
      </c>
      <c r="V345" s="7" t="s">
        <v>731</v>
      </c>
      <c r="W345" s="82">
        <f t="shared" si="77"/>
        <v>0</v>
      </c>
      <c r="Y345" s="4"/>
      <c r="Z345" s="4"/>
      <c r="AA345" s="82"/>
      <c r="AB345" s="82"/>
      <c r="AC345" s="82"/>
      <c r="AD345" s="23"/>
      <c r="AE345" s="7" t="s">
        <v>460</v>
      </c>
      <c r="AH345" s="23">
        <f>SUM('2021 Detail'!J331:U331)+SUM('2021 Detail'!AA331)</f>
        <v>68536.999999999985</v>
      </c>
      <c r="AJ345" s="23">
        <f t="shared" si="78"/>
        <v>0</v>
      </c>
      <c r="AL345" t="str">
        <f t="shared" si="69"/>
        <v>Same</v>
      </c>
      <c r="AQ345" s="23">
        <v>5891.63</v>
      </c>
    </row>
    <row r="346" spans="1:43" x14ac:dyDescent="0.2">
      <c r="A346" s="226" t="s">
        <v>252</v>
      </c>
      <c r="B346" s="9" t="s">
        <v>495</v>
      </c>
      <c r="C346" s="9" t="s">
        <v>495</v>
      </c>
      <c r="D346" s="9">
        <v>0</v>
      </c>
      <c r="E346" s="9"/>
      <c r="F346" s="9">
        <v>0</v>
      </c>
      <c r="G346" s="83">
        <v>28435</v>
      </c>
      <c r="H346" s="83">
        <f t="shared" si="75"/>
        <v>18000</v>
      </c>
      <c r="I346" s="133">
        <f t="shared" si="76"/>
        <v>0.63300000000000001</v>
      </c>
      <c r="J346" s="82"/>
      <c r="K346" s="82"/>
      <c r="L346" s="82"/>
      <c r="M346" s="82">
        <v>2500</v>
      </c>
      <c r="N346" s="82"/>
      <c r="O346" s="82">
        <v>5000</v>
      </c>
      <c r="P346" s="82"/>
      <c r="Q346" s="82">
        <v>2500</v>
      </c>
      <c r="R346" s="82"/>
      <c r="S346" s="23"/>
      <c r="T346" s="23">
        <v>2500</v>
      </c>
      <c r="U346" s="23">
        <v>5500</v>
      </c>
      <c r="V346" s="7" t="s">
        <v>732</v>
      </c>
      <c r="W346" s="82">
        <f t="shared" si="77"/>
        <v>10435</v>
      </c>
      <c r="Y346" s="4"/>
      <c r="Z346" s="4"/>
      <c r="AA346" s="82"/>
      <c r="AB346" s="82"/>
      <c r="AC346" s="82"/>
      <c r="AD346" s="23"/>
      <c r="AE346" s="7" t="s">
        <v>461</v>
      </c>
      <c r="AH346" s="23">
        <f>SUM('2021 Detail'!J332:U332)+SUM('2021 Detail'!AA332)</f>
        <v>19000</v>
      </c>
      <c r="AJ346" s="23">
        <f t="shared" si="78"/>
        <v>-1000</v>
      </c>
      <c r="AL346" t="str">
        <f t="shared" si="69"/>
        <v>Down</v>
      </c>
      <c r="AQ346" s="23">
        <v>4000</v>
      </c>
    </row>
    <row r="347" spans="1:43" x14ac:dyDescent="0.2">
      <c r="A347" s="226" t="s">
        <v>253</v>
      </c>
      <c r="B347" s="9" t="s">
        <v>495</v>
      </c>
      <c r="C347" s="9" t="s">
        <v>495</v>
      </c>
      <c r="D347" s="9" t="s">
        <v>495</v>
      </c>
      <c r="E347" s="9"/>
      <c r="F347" s="9">
        <v>0</v>
      </c>
      <c r="G347" s="83">
        <v>30000</v>
      </c>
      <c r="H347" s="83">
        <f t="shared" si="75"/>
        <v>30000</v>
      </c>
      <c r="I347" s="133">
        <f t="shared" si="76"/>
        <v>1</v>
      </c>
      <c r="J347" s="82">
        <v>2500</v>
      </c>
      <c r="K347" s="82">
        <v>2500</v>
      </c>
      <c r="L347" s="82">
        <v>2500</v>
      </c>
      <c r="M347" s="82">
        <v>2500</v>
      </c>
      <c r="N347" s="82">
        <v>2500</v>
      </c>
      <c r="O347" s="82">
        <v>2500</v>
      </c>
      <c r="P347" s="82">
        <v>2500</v>
      </c>
      <c r="Q347" s="82">
        <v>2500</v>
      </c>
      <c r="R347" s="82">
        <v>2500</v>
      </c>
      <c r="S347" s="82">
        <v>2500</v>
      </c>
      <c r="T347" s="23">
        <v>2500</v>
      </c>
      <c r="U347" s="23">
        <v>2500</v>
      </c>
      <c r="V347" s="7" t="s">
        <v>733</v>
      </c>
      <c r="W347" s="82">
        <f t="shared" si="77"/>
        <v>0</v>
      </c>
      <c r="Y347" s="4"/>
      <c r="Z347" s="4"/>
      <c r="AA347" s="82"/>
      <c r="AB347" s="82"/>
      <c r="AC347" s="82"/>
      <c r="AD347" s="23"/>
      <c r="AE347" s="7" t="s">
        <v>461</v>
      </c>
      <c r="AH347" s="23">
        <f>SUM('2021 Detail'!J333:U333)+SUM('2021 Detail'!AA333)</f>
        <v>30000</v>
      </c>
      <c r="AJ347" s="23">
        <f t="shared" si="78"/>
        <v>0</v>
      </c>
      <c r="AL347" t="str">
        <f t="shared" si="69"/>
        <v>Same</v>
      </c>
      <c r="AQ347" s="23">
        <v>2500</v>
      </c>
    </row>
    <row r="348" spans="1:43" x14ac:dyDescent="0.2">
      <c r="A348" s="226" t="s">
        <v>254</v>
      </c>
      <c r="B348" s="9" t="s">
        <v>495</v>
      </c>
      <c r="C348" s="9" t="s">
        <v>495</v>
      </c>
      <c r="D348" s="9">
        <v>0</v>
      </c>
      <c r="E348" s="9"/>
      <c r="F348" s="9">
        <v>0</v>
      </c>
      <c r="G348" s="83">
        <v>8649</v>
      </c>
      <c r="H348" s="83">
        <f t="shared" si="75"/>
        <v>8700</v>
      </c>
      <c r="I348" s="133">
        <f t="shared" si="76"/>
        <v>1.0059</v>
      </c>
      <c r="J348" s="82"/>
      <c r="K348" s="82"/>
      <c r="L348" s="82"/>
      <c r="M348" s="82"/>
      <c r="N348" s="82"/>
      <c r="O348" s="82">
        <v>8700</v>
      </c>
      <c r="P348" s="82"/>
      <c r="Q348" s="82"/>
      <c r="R348" s="82"/>
      <c r="S348" s="23"/>
      <c r="T348" s="23"/>
      <c r="U348" s="23"/>
      <c r="V348" s="7" t="s">
        <v>734</v>
      </c>
      <c r="W348" s="82">
        <f t="shared" si="77"/>
        <v>-51</v>
      </c>
      <c r="Y348" s="4"/>
      <c r="Z348" s="4"/>
      <c r="AA348" s="82"/>
      <c r="AB348" s="82"/>
      <c r="AC348" s="82"/>
      <c r="AD348" s="23"/>
      <c r="AE348" s="7" t="s">
        <v>463</v>
      </c>
      <c r="AH348" s="23">
        <f>SUM('2021 Detail'!J334:U334)+SUM('2021 Detail'!AA334)</f>
        <v>8650</v>
      </c>
      <c r="AJ348" s="23">
        <f t="shared" si="78"/>
        <v>50</v>
      </c>
      <c r="AL348" t="str">
        <f t="shared" si="69"/>
        <v>Up</v>
      </c>
    </row>
    <row r="349" spans="1:43" x14ac:dyDescent="0.2">
      <c r="A349" s="226" t="s">
        <v>255</v>
      </c>
      <c r="B349" s="9" t="s">
        <v>495</v>
      </c>
      <c r="C349" s="9" t="s">
        <v>495</v>
      </c>
      <c r="D349" s="9" t="s">
        <v>495</v>
      </c>
      <c r="E349" s="9"/>
      <c r="F349" s="9">
        <v>0</v>
      </c>
      <c r="G349" s="83">
        <v>9632</v>
      </c>
      <c r="H349" s="83">
        <f t="shared" si="75"/>
        <v>7224</v>
      </c>
      <c r="I349" s="133">
        <f t="shared" si="76"/>
        <v>0.75</v>
      </c>
      <c r="J349" s="82"/>
      <c r="K349" s="82"/>
      <c r="L349" s="82"/>
      <c r="M349" s="82"/>
      <c r="N349" s="82"/>
      <c r="O349" s="82">
        <v>2448.1</v>
      </c>
      <c r="P349" s="82"/>
      <c r="Q349" s="82"/>
      <c r="R349" s="82"/>
      <c r="S349" s="23"/>
      <c r="T349" s="23">
        <v>4775.8999999999996</v>
      </c>
      <c r="U349" s="23"/>
      <c r="V349" s="7" t="s">
        <v>735</v>
      </c>
      <c r="W349" s="82">
        <f t="shared" si="77"/>
        <v>2408</v>
      </c>
      <c r="Y349" s="4"/>
      <c r="Z349" s="4"/>
      <c r="AA349" s="82"/>
      <c r="AB349" s="82"/>
      <c r="AC349" s="82"/>
      <c r="AD349" s="23"/>
      <c r="AE349" s="7" t="s">
        <v>463</v>
      </c>
      <c r="AH349" s="23">
        <f>SUM('2021 Detail'!J335:U335)+SUM('2021 Detail'!AA335)</f>
        <v>7224</v>
      </c>
      <c r="AJ349" s="23">
        <f t="shared" si="78"/>
        <v>0</v>
      </c>
      <c r="AL349" t="str">
        <f t="shared" si="69"/>
        <v>Same</v>
      </c>
      <c r="AQ349" s="23">
        <v>2935.4</v>
      </c>
    </row>
    <row r="350" spans="1:43" x14ac:dyDescent="0.2">
      <c r="A350" s="226" t="s">
        <v>256</v>
      </c>
      <c r="B350" s="9">
        <v>0</v>
      </c>
      <c r="C350" s="9" t="s">
        <v>495</v>
      </c>
      <c r="D350" s="9" t="s">
        <v>495</v>
      </c>
      <c r="E350" s="9"/>
      <c r="F350" s="9" t="s">
        <v>495</v>
      </c>
      <c r="G350" s="83">
        <v>22730</v>
      </c>
      <c r="H350" s="83">
        <f t="shared" si="75"/>
        <v>15000</v>
      </c>
      <c r="I350" s="133">
        <f t="shared" si="76"/>
        <v>0.65990000000000004</v>
      </c>
      <c r="J350" s="82">
        <v>1000</v>
      </c>
      <c r="K350" s="82">
        <v>1000</v>
      </c>
      <c r="L350" s="82">
        <v>1000</v>
      </c>
      <c r="M350" s="82">
        <v>1000</v>
      </c>
      <c r="N350" s="82">
        <v>1000</v>
      </c>
      <c r="O350" s="82">
        <v>1000</v>
      </c>
      <c r="P350" s="82">
        <v>1000</v>
      </c>
      <c r="Q350" s="82">
        <v>1000</v>
      </c>
      <c r="R350" s="82">
        <v>1000</v>
      </c>
      <c r="S350" s="23">
        <v>1000</v>
      </c>
      <c r="T350" s="23">
        <v>1000</v>
      </c>
      <c r="U350" s="23">
        <v>1000</v>
      </c>
      <c r="V350" s="7" t="s">
        <v>736</v>
      </c>
      <c r="W350" s="82">
        <f t="shared" si="77"/>
        <v>7730</v>
      </c>
      <c r="Y350" s="4"/>
      <c r="Z350" s="4"/>
      <c r="AA350" s="82">
        <v>3000</v>
      </c>
      <c r="AB350" s="82"/>
      <c r="AC350" s="82"/>
      <c r="AD350" s="23"/>
      <c r="AE350" s="7" t="s">
        <v>462</v>
      </c>
      <c r="AH350" s="23">
        <f>SUM('2021 Detail'!J336:U336)+SUM('2021 Detail'!AA336)</f>
        <v>12000</v>
      </c>
      <c r="AJ350" s="23">
        <f t="shared" si="78"/>
        <v>3000</v>
      </c>
      <c r="AL350" t="str">
        <f t="shared" si="69"/>
        <v>Up</v>
      </c>
      <c r="AQ350" s="23">
        <v>1000</v>
      </c>
    </row>
    <row r="351" spans="1:43" x14ac:dyDescent="0.2">
      <c r="A351" s="226" t="s">
        <v>257</v>
      </c>
      <c r="B351" s="9" t="s">
        <v>495</v>
      </c>
      <c r="C351" s="9">
        <v>0</v>
      </c>
      <c r="D351" s="9">
        <v>0</v>
      </c>
      <c r="E351" s="9"/>
      <c r="F351" s="9" t="s">
        <v>495</v>
      </c>
      <c r="G351" s="83">
        <v>2000</v>
      </c>
      <c r="H351" s="83">
        <f t="shared" si="75"/>
        <v>2000</v>
      </c>
      <c r="I351" s="133">
        <f t="shared" si="76"/>
        <v>1</v>
      </c>
      <c r="J351" s="82">
        <v>100</v>
      </c>
      <c r="K351" s="82">
        <v>100</v>
      </c>
      <c r="L351" s="82">
        <v>100</v>
      </c>
      <c r="M351" s="82">
        <v>100</v>
      </c>
      <c r="N351" s="82">
        <v>100</v>
      </c>
      <c r="O351" s="82">
        <v>100</v>
      </c>
      <c r="P351" s="82">
        <v>100</v>
      </c>
      <c r="Q351" s="82">
        <v>100</v>
      </c>
      <c r="R351" s="82">
        <v>100</v>
      </c>
      <c r="S351" s="23">
        <v>100</v>
      </c>
      <c r="T351" s="23">
        <v>100</v>
      </c>
      <c r="U351" s="23">
        <v>900</v>
      </c>
      <c r="V351" s="7" t="s">
        <v>737</v>
      </c>
      <c r="W351" s="82">
        <f t="shared" si="77"/>
        <v>0</v>
      </c>
      <c r="Y351" s="4"/>
      <c r="Z351" s="4"/>
      <c r="AA351" s="82"/>
      <c r="AB351" s="82"/>
      <c r="AC351" s="82"/>
      <c r="AD351" s="23"/>
      <c r="AE351" s="7" t="s">
        <v>460</v>
      </c>
      <c r="AH351" s="23">
        <f>SUM('2021 Detail'!J337:U337)+SUM('2021 Detail'!AA337)</f>
        <v>2000</v>
      </c>
      <c r="AJ351" s="23">
        <f t="shared" si="78"/>
        <v>0</v>
      </c>
      <c r="AL351" t="str">
        <f t="shared" si="69"/>
        <v>Same</v>
      </c>
      <c r="AQ351" s="23">
        <v>900</v>
      </c>
    </row>
    <row r="352" spans="1:43" x14ac:dyDescent="0.2">
      <c r="A352" s="226" t="s">
        <v>258</v>
      </c>
      <c r="B352" s="9" t="s">
        <v>495</v>
      </c>
      <c r="C352" s="9">
        <v>0</v>
      </c>
      <c r="D352" s="9" t="s">
        <v>495</v>
      </c>
      <c r="E352" s="9"/>
      <c r="F352" s="9">
        <v>0</v>
      </c>
      <c r="G352" s="83">
        <v>9435</v>
      </c>
      <c r="H352" s="83">
        <f t="shared" si="75"/>
        <v>6000</v>
      </c>
      <c r="I352" s="133">
        <f t="shared" si="76"/>
        <v>0.63590000000000002</v>
      </c>
      <c r="J352" s="82"/>
      <c r="K352" s="82"/>
      <c r="L352" s="82"/>
      <c r="M352" s="82"/>
      <c r="N352" s="82"/>
      <c r="O352" s="82"/>
      <c r="P352" s="82"/>
      <c r="Q352" s="82">
        <v>3000</v>
      </c>
      <c r="R352" s="82"/>
      <c r="S352" s="23">
        <v>3000</v>
      </c>
      <c r="T352" s="23"/>
      <c r="U352" s="23"/>
      <c r="V352" s="7" t="s">
        <v>738</v>
      </c>
      <c r="W352" s="82">
        <f t="shared" si="77"/>
        <v>3435</v>
      </c>
      <c r="Y352" s="4"/>
      <c r="Z352" s="4"/>
      <c r="AA352" s="82"/>
      <c r="AB352" s="82"/>
      <c r="AC352" s="82"/>
      <c r="AD352" s="23"/>
      <c r="AE352" s="7" t="s">
        <v>463</v>
      </c>
      <c r="AH352" s="23">
        <f>SUM('2021 Detail'!J338:U338)+SUM('2021 Detail'!AA338)</f>
        <v>6000</v>
      </c>
      <c r="AJ352" s="23">
        <f t="shared" si="78"/>
        <v>0</v>
      </c>
      <c r="AL352" t="str">
        <f t="shared" si="69"/>
        <v>Same</v>
      </c>
    </row>
    <row r="353" spans="1:43" x14ac:dyDescent="0.2">
      <c r="A353" s="226" t="s">
        <v>259</v>
      </c>
      <c r="B353" s="9">
        <v>0</v>
      </c>
      <c r="C353" s="9">
        <v>0</v>
      </c>
      <c r="D353" s="9" t="s">
        <v>495</v>
      </c>
      <c r="E353" s="9"/>
      <c r="F353" s="9">
        <v>0</v>
      </c>
      <c r="G353" s="83">
        <v>16409</v>
      </c>
      <c r="H353" s="83">
        <f t="shared" si="75"/>
        <v>6000</v>
      </c>
      <c r="I353" s="133">
        <f t="shared" si="76"/>
        <v>0.36570000000000003</v>
      </c>
      <c r="J353" s="82">
        <v>1000</v>
      </c>
      <c r="K353" s="82">
        <v>1000</v>
      </c>
      <c r="L353" s="82">
        <v>1000</v>
      </c>
      <c r="M353" s="82">
        <v>1000</v>
      </c>
      <c r="N353" s="82">
        <v>1000</v>
      </c>
      <c r="O353" s="82">
        <v>1000</v>
      </c>
      <c r="P353" s="82"/>
      <c r="Q353" s="82"/>
      <c r="R353" s="82"/>
      <c r="S353" s="23"/>
      <c r="T353" s="23"/>
      <c r="U353" s="23"/>
      <c r="V353" s="7" t="s">
        <v>739</v>
      </c>
      <c r="W353" s="82">
        <f t="shared" si="77"/>
        <v>10409</v>
      </c>
      <c r="Y353" s="4"/>
      <c r="Z353" s="4"/>
      <c r="AA353" s="82"/>
      <c r="AB353" s="82"/>
      <c r="AC353" s="82"/>
      <c r="AD353" s="23"/>
      <c r="AE353" s="7" t="s">
        <v>463</v>
      </c>
      <c r="AH353" s="23">
        <f>SUM('2021 Detail'!J339:U339)+SUM('2021 Detail'!AA339)</f>
        <v>12502</v>
      </c>
      <c r="AJ353" s="23">
        <f t="shared" si="78"/>
        <v>-6502</v>
      </c>
      <c r="AL353" t="str">
        <f t="shared" si="69"/>
        <v>Down</v>
      </c>
      <c r="AQ353" s="23">
        <v>1502</v>
      </c>
    </row>
    <row r="354" spans="1:43" x14ac:dyDescent="0.2">
      <c r="A354" s="226" t="s">
        <v>260</v>
      </c>
      <c r="B354" s="9" t="s">
        <v>495</v>
      </c>
      <c r="C354" s="9" t="s">
        <v>495</v>
      </c>
      <c r="D354" s="9">
        <v>0</v>
      </c>
      <c r="E354" s="9"/>
      <c r="F354" s="9" t="s">
        <v>495</v>
      </c>
      <c r="G354" s="83">
        <v>26400</v>
      </c>
      <c r="H354" s="83">
        <f t="shared" si="75"/>
        <v>26400</v>
      </c>
      <c r="I354" s="133">
        <f t="shared" si="76"/>
        <v>1</v>
      </c>
      <c r="J354" s="82">
        <v>2200</v>
      </c>
      <c r="K354" s="82">
        <v>2200</v>
      </c>
      <c r="L354" s="82">
        <v>2200</v>
      </c>
      <c r="M354" s="82">
        <v>2200</v>
      </c>
      <c r="N354" s="82">
        <v>2200</v>
      </c>
      <c r="O354" s="82">
        <v>2200</v>
      </c>
      <c r="P354" s="82">
        <v>2200</v>
      </c>
      <c r="Q354" s="82">
        <v>2200</v>
      </c>
      <c r="R354" s="82">
        <v>2200</v>
      </c>
      <c r="S354" s="23">
        <v>2200</v>
      </c>
      <c r="T354" s="23">
        <v>2200</v>
      </c>
      <c r="U354" s="23">
        <v>2200</v>
      </c>
      <c r="V354" s="7" t="s">
        <v>740</v>
      </c>
      <c r="W354" s="82">
        <f t="shared" si="77"/>
        <v>0</v>
      </c>
      <c r="Y354" s="4"/>
      <c r="Z354" s="4"/>
      <c r="AA354" s="82"/>
      <c r="AB354" s="82"/>
      <c r="AC354" s="82"/>
      <c r="AD354" s="23"/>
      <c r="AE354" s="7" t="s">
        <v>464</v>
      </c>
      <c r="AH354" s="23">
        <f>SUM('2021 Detail'!J340:U340)+SUM('2021 Detail'!AA340)</f>
        <v>26400</v>
      </c>
      <c r="AJ354" s="23">
        <f t="shared" si="78"/>
        <v>0</v>
      </c>
      <c r="AL354" t="str">
        <f t="shared" si="69"/>
        <v>Same</v>
      </c>
      <c r="AQ354" s="23">
        <v>2200</v>
      </c>
    </row>
    <row r="355" spans="1:43" x14ac:dyDescent="0.2">
      <c r="A355" s="226" t="s">
        <v>261</v>
      </c>
      <c r="B355" s="9" t="s">
        <v>495</v>
      </c>
      <c r="C355" s="9">
        <v>0</v>
      </c>
      <c r="D355" s="9">
        <v>0</v>
      </c>
      <c r="E355" s="9"/>
      <c r="F355" s="9">
        <v>0</v>
      </c>
      <c r="G355" s="83">
        <v>0</v>
      </c>
      <c r="H355" s="83">
        <f t="shared" si="75"/>
        <v>0</v>
      </c>
      <c r="I355" s="133">
        <v>0</v>
      </c>
      <c r="J355" s="82"/>
      <c r="K355" s="82"/>
      <c r="L355" s="82"/>
      <c r="M355" s="82"/>
      <c r="N355" s="82"/>
      <c r="O355" s="82"/>
      <c r="P355" s="82"/>
      <c r="Q355" s="82"/>
      <c r="R355" s="82"/>
      <c r="S355" s="23"/>
      <c r="T355" s="23"/>
      <c r="U355" s="23"/>
      <c r="V355" s="7" t="s">
        <v>741</v>
      </c>
      <c r="W355" s="82">
        <f t="shared" si="77"/>
        <v>0</v>
      </c>
      <c r="Y355" s="4"/>
      <c r="Z355" s="4"/>
      <c r="AA355" s="82"/>
      <c r="AB355" s="82"/>
      <c r="AC355" s="82"/>
      <c r="AD355" s="23"/>
      <c r="AE355" s="7" t="s">
        <v>459</v>
      </c>
      <c r="AH355" s="23">
        <f>SUM('2021 Detail'!J341:U341)+SUM('2021 Detail'!AA341)</f>
        <v>0</v>
      </c>
      <c r="AJ355" s="23">
        <f t="shared" si="78"/>
        <v>0</v>
      </c>
      <c r="AL355" t="str">
        <f t="shared" si="69"/>
        <v>Same</v>
      </c>
    </row>
    <row r="356" spans="1:43" x14ac:dyDescent="0.2">
      <c r="A356" s="226" t="s">
        <v>262</v>
      </c>
      <c r="B356" s="9" t="s">
        <v>495</v>
      </c>
      <c r="C356" s="9" t="s">
        <v>495</v>
      </c>
      <c r="D356" s="9" t="s">
        <v>495</v>
      </c>
      <c r="E356" s="9"/>
      <c r="F356" s="9">
        <v>0</v>
      </c>
      <c r="G356" s="83">
        <v>12173</v>
      </c>
      <c r="H356" s="83">
        <f t="shared" si="75"/>
        <v>7000</v>
      </c>
      <c r="I356" s="133">
        <f t="shared" si="76"/>
        <v>0.57499999999999996</v>
      </c>
      <c r="J356" s="82">
        <v>1750</v>
      </c>
      <c r="K356" s="82"/>
      <c r="L356" s="82"/>
      <c r="M356" s="82"/>
      <c r="N356" s="82"/>
      <c r="O356" s="82"/>
      <c r="P356" s="82">
        <v>1750</v>
      </c>
      <c r="Q356" s="82"/>
      <c r="R356" s="82"/>
      <c r="S356" s="23"/>
      <c r="T356" s="23">
        <v>3500</v>
      </c>
      <c r="U356" s="23"/>
      <c r="V356" s="7" t="s">
        <v>742</v>
      </c>
      <c r="W356" s="82">
        <f t="shared" si="77"/>
        <v>5173</v>
      </c>
      <c r="Y356" s="4"/>
      <c r="Z356" s="4"/>
      <c r="AA356" s="82"/>
      <c r="AB356" s="82"/>
      <c r="AC356" s="82"/>
      <c r="AD356" s="23"/>
      <c r="AE356" s="7" t="s">
        <v>459</v>
      </c>
      <c r="AH356" s="23">
        <f>SUM('2021 Detail'!J342:U342)+SUM('2021 Detail'!AA342)</f>
        <v>6400</v>
      </c>
      <c r="AJ356" s="23">
        <f t="shared" si="78"/>
        <v>600</v>
      </c>
      <c r="AL356" t="str">
        <f t="shared" si="69"/>
        <v>Up</v>
      </c>
      <c r="AQ356" s="23">
        <v>1600</v>
      </c>
    </row>
    <row r="357" spans="1:43" x14ac:dyDescent="0.2">
      <c r="A357" s="226" t="s">
        <v>263</v>
      </c>
      <c r="B357" s="9" t="s">
        <v>495</v>
      </c>
      <c r="C357" s="9" t="s">
        <v>495</v>
      </c>
      <c r="D357" s="9">
        <v>0</v>
      </c>
      <c r="E357" s="9"/>
      <c r="F357" s="9">
        <v>0</v>
      </c>
      <c r="G357" s="83">
        <v>30500</v>
      </c>
      <c r="H357" s="83">
        <f t="shared" si="75"/>
        <v>30500</v>
      </c>
      <c r="I357" s="133">
        <f t="shared" si="76"/>
        <v>1</v>
      </c>
      <c r="J357" s="82">
        <v>1500</v>
      </c>
      <c r="K357" s="82">
        <v>1500</v>
      </c>
      <c r="L357" s="82">
        <v>1500</v>
      </c>
      <c r="M357" s="82"/>
      <c r="N357" s="82">
        <v>3000</v>
      </c>
      <c r="O357" s="82">
        <v>9500</v>
      </c>
      <c r="P357" s="82"/>
      <c r="Q357" s="82">
        <v>3000</v>
      </c>
      <c r="R357" s="82">
        <v>1500</v>
      </c>
      <c r="S357" s="23">
        <v>1500</v>
      </c>
      <c r="T357" s="23">
        <v>1500</v>
      </c>
      <c r="U357" s="23">
        <v>6000</v>
      </c>
      <c r="V357" s="7" t="s">
        <v>743</v>
      </c>
      <c r="W357" s="82">
        <f t="shared" si="77"/>
        <v>0</v>
      </c>
      <c r="Y357" s="4"/>
      <c r="Z357" s="4"/>
      <c r="AA357" s="82"/>
      <c r="AB357" s="82"/>
      <c r="AC357" s="82"/>
      <c r="AD357" s="23"/>
      <c r="AE357" s="7" t="s">
        <v>462</v>
      </c>
      <c r="AH357" s="23">
        <f>SUM('2021 Detail'!J343:U343)+SUM('2021 Detail'!AA343)</f>
        <v>30250</v>
      </c>
      <c r="AJ357" s="23">
        <f t="shared" si="78"/>
        <v>250</v>
      </c>
      <c r="AL357" t="str">
        <f t="shared" si="69"/>
        <v>Up</v>
      </c>
      <c r="AQ357" s="23">
        <v>4500</v>
      </c>
    </row>
    <row r="358" spans="1:43" x14ac:dyDescent="0.2">
      <c r="G358" s="83"/>
      <c r="H358" s="83"/>
      <c r="I358" s="133"/>
      <c r="Y358" s="4"/>
      <c r="Z358" s="4"/>
      <c r="AA358" s="82"/>
      <c r="AB358" s="82"/>
      <c r="AC358" s="82"/>
      <c r="AD358" s="23"/>
      <c r="AJ358" s="23"/>
    </row>
    <row r="359" spans="1:43" x14ac:dyDescent="0.2">
      <c r="A359" s="226" t="s">
        <v>1142</v>
      </c>
      <c r="G359" s="83">
        <f>SUM(G340:G358)</f>
        <v>316156</v>
      </c>
      <c r="H359" s="83">
        <f>SUM(H340:H358)</f>
        <v>259080</v>
      </c>
      <c r="I359" s="133">
        <f t="shared" ref="I359:I360" si="79">ROUND((H359/G359),4)</f>
        <v>0.81950000000000001</v>
      </c>
      <c r="J359" s="83">
        <f>SUM(J340:J358)</f>
        <v>17054.86</v>
      </c>
      <c r="K359" s="83">
        <f t="shared" ref="K359:W359" si="80">SUM(K340:K358)</f>
        <v>15304.74</v>
      </c>
      <c r="L359" s="83">
        <f t="shared" si="80"/>
        <v>15304.74</v>
      </c>
      <c r="M359" s="83">
        <f t="shared" si="80"/>
        <v>16594.739999999998</v>
      </c>
      <c r="N359" s="83">
        <f t="shared" si="80"/>
        <v>19594.739999999998</v>
      </c>
      <c r="O359" s="83">
        <f t="shared" si="80"/>
        <v>40887.339999999997</v>
      </c>
      <c r="P359" s="83">
        <f t="shared" si="80"/>
        <v>17344.739999999998</v>
      </c>
      <c r="Q359" s="83">
        <f t="shared" si="80"/>
        <v>21594.739999999998</v>
      </c>
      <c r="R359" s="83">
        <f t="shared" si="80"/>
        <v>14594.74</v>
      </c>
      <c r="S359" s="4">
        <f t="shared" si="80"/>
        <v>19594.739999999998</v>
      </c>
      <c r="T359" s="4">
        <f t="shared" si="80"/>
        <v>29015.14</v>
      </c>
      <c r="U359" s="4">
        <f t="shared" si="80"/>
        <v>29194.739999999998</v>
      </c>
      <c r="V359" s="77"/>
      <c r="W359" s="82">
        <f t="shared" si="80"/>
        <v>57076</v>
      </c>
      <c r="Y359" s="4"/>
      <c r="Z359" s="4"/>
      <c r="AA359" s="83">
        <f t="shared" ref="AA359:AC359" si="81">SUM(AA340:AA358)</f>
        <v>3000</v>
      </c>
      <c r="AB359" s="83">
        <f t="shared" si="81"/>
        <v>0</v>
      </c>
      <c r="AC359" s="83">
        <f t="shared" si="81"/>
        <v>0</v>
      </c>
      <c r="AD359" s="4"/>
      <c r="AH359" s="23">
        <f>SUM(AH340:AH358)</f>
        <v>261332</v>
      </c>
      <c r="AJ359" s="23">
        <f t="shared" si="78"/>
        <v>-2252</v>
      </c>
      <c r="AM359" s="11">
        <f>SUM(J359:R359)+SUM(S360:U360)+SUM('2020 detail'!AA344:AC344)</f>
        <v>262609.01999999996</v>
      </c>
      <c r="AN359" s="24">
        <f>ROUND((AM359/G359),4)</f>
        <v>0.8306</v>
      </c>
      <c r="AO359" s="24">
        <f>ROUND((SUM(J360:U360)/G360),4)</f>
        <v>0.81710000000000005</v>
      </c>
      <c r="AQ359" s="23">
        <f>SUM(AQ340:AQ358)</f>
        <v>34743.03</v>
      </c>
    </row>
    <row r="360" spans="1:43" x14ac:dyDescent="0.2">
      <c r="A360" s="253" t="s">
        <v>1056</v>
      </c>
      <c r="G360" s="206">
        <f>'2021 Detail'!G345</f>
        <v>316155</v>
      </c>
      <c r="H360" s="206">
        <f>SUM(J360:U360)+SUM(AA360:AC360)</f>
        <v>261644.00000000003</v>
      </c>
      <c r="I360" s="207">
        <f t="shared" si="79"/>
        <v>0.8276</v>
      </c>
      <c r="J360" s="206">
        <f>'2021 Detail'!J345</f>
        <v>13464</v>
      </c>
      <c r="K360" s="206">
        <f>'2021 Detail'!K345</f>
        <v>17456.7</v>
      </c>
      <c r="L360" s="206">
        <f>'2021 Detail'!L345</f>
        <v>19356.63</v>
      </c>
      <c r="M360" s="206">
        <f>'2021 Detail'!M345</f>
        <v>16876.13</v>
      </c>
      <c r="N360" s="206">
        <f>'2021 Detail'!N345</f>
        <v>18716.63</v>
      </c>
      <c r="O360" s="206">
        <f>'2021 Detail'!O345</f>
        <v>21616.63</v>
      </c>
      <c r="P360" s="206">
        <f>'2021 Detail'!P345</f>
        <v>21678.38</v>
      </c>
      <c r="Q360" s="206">
        <f>'2021 Detail'!Q345</f>
        <v>25116.63</v>
      </c>
      <c r="R360" s="206">
        <f>'2021 Detail'!R345</f>
        <v>19716.63</v>
      </c>
      <c r="S360" s="206">
        <f>'2021 Detail'!S345</f>
        <v>30973.98</v>
      </c>
      <c r="T360" s="206">
        <f>'2021 Detail'!T345</f>
        <v>18616.63</v>
      </c>
      <c r="U360" s="206">
        <f>'2021 Detail'!U345</f>
        <v>34743.03</v>
      </c>
      <c r="V360" s="206"/>
      <c r="W360" s="206"/>
      <c r="X360" s="206"/>
      <c r="Y360" s="4"/>
      <c r="Z360" s="4"/>
      <c r="AA360" s="206">
        <f>'2021 Detail'!AA345</f>
        <v>3000</v>
      </c>
      <c r="AB360" s="206">
        <f>'2021 Detail'!AB345</f>
        <v>312</v>
      </c>
      <c r="AC360" s="206">
        <f>'2021 Detail'!AC345</f>
        <v>0</v>
      </c>
      <c r="AJ360" s="23"/>
    </row>
    <row r="361" spans="1:43" x14ac:dyDescent="0.2">
      <c r="Y361" s="4"/>
      <c r="Z361" s="4"/>
      <c r="AJ361" s="23"/>
    </row>
    <row r="362" spans="1:43" x14ac:dyDescent="0.2">
      <c r="A362" s="226" t="str">
        <f t="shared" ref="A362:U362" si="82">A$510</f>
        <v>Diocesan Total 2022</v>
      </c>
      <c r="B362" s="226">
        <f t="shared" si="82"/>
        <v>0</v>
      </c>
      <c r="C362" s="226">
        <f t="shared" si="82"/>
        <v>0</v>
      </c>
      <c r="D362" s="258">
        <f t="shared" si="82"/>
        <v>0</v>
      </c>
      <c r="E362" s="226">
        <f t="shared" si="82"/>
        <v>0</v>
      </c>
      <c r="F362" s="226">
        <f t="shared" si="82"/>
        <v>0</v>
      </c>
      <c r="G362" s="83">
        <f t="shared" si="82"/>
        <v>8116012</v>
      </c>
      <c r="H362" s="83">
        <f t="shared" si="82"/>
        <v>6559332.3399999999</v>
      </c>
      <c r="I362" s="133">
        <f t="shared" si="82"/>
        <v>0.80820000000000003</v>
      </c>
      <c r="J362" s="83">
        <f t="shared" si="82"/>
        <v>378351.23</v>
      </c>
      <c r="K362" s="83">
        <f t="shared" si="82"/>
        <v>449442.02</v>
      </c>
      <c r="L362" s="83">
        <f t="shared" si="82"/>
        <v>517036.34</v>
      </c>
      <c r="M362" s="83">
        <f t="shared" si="82"/>
        <v>434875.54000000004</v>
      </c>
      <c r="N362" s="83">
        <f t="shared" si="82"/>
        <v>497786.23</v>
      </c>
      <c r="O362" s="83">
        <f t="shared" si="82"/>
        <v>599586.94000000006</v>
      </c>
      <c r="P362" s="83">
        <f t="shared" si="82"/>
        <v>498701.35</v>
      </c>
      <c r="Q362" s="83">
        <f t="shared" si="82"/>
        <v>538018.41999999993</v>
      </c>
      <c r="R362" s="83">
        <f t="shared" si="82"/>
        <v>551902.79</v>
      </c>
      <c r="S362" s="4">
        <f t="shared" si="82"/>
        <v>564217.18000000005</v>
      </c>
      <c r="T362" s="4">
        <f t="shared" si="82"/>
        <v>646111.05000000005</v>
      </c>
      <c r="U362" s="4">
        <f t="shared" si="82"/>
        <v>737258.44</v>
      </c>
      <c r="V362" s="77"/>
      <c r="W362" s="82"/>
      <c r="X362" s="4"/>
      <c r="Y362" s="4"/>
      <c r="Z362" s="4"/>
      <c r="AA362" s="83"/>
      <c r="AB362" s="83"/>
      <c r="AC362" s="83"/>
      <c r="AD362" s="4"/>
      <c r="AH362" s="23">
        <f>AH$510</f>
        <v>6554125.29</v>
      </c>
      <c r="AJ362" s="23">
        <f>AJ$510</f>
        <v>5207.0499999998137</v>
      </c>
    </row>
    <row r="363" spans="1:43" x14ac:dyDescent="0.2">
      <c r="A363" s="253" t="str">
        <f t="shared" ref="A363:T363" si="83">A$511</f>
        <v>Diocesan Total 2021</v>
      </c>
      <c r="B363" s="253">
        <f t="shared" si="83"/>
        <v>0</v>
      </c>
      <c r="C363" s="253">
        <f t="shared" si="83"/>
        <v>0</v>
      </c>
      <c r="D363" s="259">
        <f t="shared" si="83"/>
        <v>0</v>
      </c>
      <c r="E363" s="253">
        <f t="shared" si="83"/>
        <v>0</v>
      </c>
      <c r="F363" s="253">
        <f t="shared" si="83"/>
        <v>0</v>
      </c>
      <c r="G363" s="206">
        <f t="shared" si="83"/>
        <v>8132853</v>
      </c>
      <c r="H363" s="206">
        <f t="shared" si="83"/>
        <v>6587993.7700000005</v>
      </c>
      <c r="I363" s="207">
        <f t="shared" si="83"/>
        <v>0.81</v>
      </c>
      <c r="J363" s="206">
        <f t="shared" si="83"/>
        <v>340336.86</v>
      </c>
      <c r="K363" s="206">
        <f t="shared" si="83"/>
        <v>407387.73</v>
      </c>
      <c r="L363" s="206">
        <f t="shared" si="83"/>
        <v>497955.59</v>
      </c>
      <c r="M363" s="206">
        <f t="shared" si="83"/>
        <v>513800.89999999997</v>
      </c>
      <c r="N363" s="206">
        <f t="shared" si="83"/>
        <v>483760.16000000003</v>
      </c>
      <c r="O363" s="206">
        <f t="shared" si="83"/>
        <v>527451.71000000008</v>
      </c>
      <c r="P363" s="206">
        <f t="shared" si="83"/>
        <v>582882.6100000001</v>
      </c>
      <c r="Q363" s="206">
        <f t="shared" si="83"/>
        <v>489302.35</v>
      </c>
      <c r="R363" s="206">
        <f t="shared" si="83"/>
        <v>548459.72</v>
      </c>
      <c r="S363" s="206">
        <f t="shared" si="83"/>
        <v>527708.16999999993</v>
      </c>
      <c r="T363" s="206">
        <f t="shared" si="83"/>
        <v>616975.80999999994</v>
      </c>
      <c r="U363" s="206">
        <f>U819</f>
        <v>0</v>
      </c>
      <c r="V363" s="206"/>
      <c r="W363" s="206"/>
      <c r="X363" s="206"/>
      <c r="Y363" s="4"/>
      <c r="Z363" s="4"/>
      <c r="AA363" s="206"/>
      <c r="AB363" s="206"/>
      <c r="AC363" s="206"/>
      <c r="AJ363" s="23"/>
    </row>
    <row r="364" spans="1:43" s="6" customFormat="1" ht="15.75" x14ac:dyDescent="0.25">
      <c r="A364" s="226"/>
      <c r="B364" s="10"/>
      <c r="C364" s="10"/>
      <c r="D364" s="10"/>
      <c r="E364" s="10"/>
      <c r="F364" s="10"/>
      <c r="G364" s="196" t="s">
        <v>15</v>
      </c>
      <c r="H364" s="15"/>
      <c r="V364" s="10"/>
      <c r="W364" s="81"/>
      <c r="X364" s="7"/>
      <c r="Y364" s="4"/>
      <c r="Z364" s="4"/>
      <c r="AE364" s="10"/>
      <c r="AH364" s="171" t="s">
        <v>1136</v>
      </c>
      <c r="AI364" s="172"/>
      <c r="AJ364" s="171" t="s">
        <v>1064</v>
      </c>
      <c r="AQ364" s="23"/>
    </row>
    <row r="365" spans="1:43" s="6" customFormat="1" x14ac:dyDescent="0.2">
      <c r="A365" s="226"/>
      <c r="B365" s="10"/>
      <c r="C365" s="10"/>
      <c r="D365" s="9"/>
      <c r="E365" s="10"/>
      <c r="F365" s="10"/>
      <c r="G365" s="21"/>
      <c r="H365" s="15"/>
      <c r="V365" s="10"/>
      <c r="W365" s="81"/>
      <c r="X365" s="7"/>
      <c r="Y365" s="4"/>
      <c r="Z365" s="4"/>
      <c r="AE365" s="10"/>
      <c r="AH365" s="171" t="s">
        <v>1137</v>
      </c>
      <c r="AI365" s="172"/>
      <c r="AJ365" s="171" t="s">
        <v>1138</v>
      </c>
      <c r="AQ365" s="23"/>
    </row>
    <row r="366" spans="1:43" ht="16.5" x14ac:dyDescent="0.25">
      <c r="A366" s="250"/>
      <c r="B366" s="8"/>
      <c r="C366" s="8"/>
      <c r="E366" s="8"/>
      <c r="F366" s="8"/>
      <c r="G366" s="208" t="str">
        <f>$G$3</f>
        <v>2022 PARISH SHARE INFORMATION AS AT 31 DECEMBER 2022</v>
      </c>
      <c r="H366" s="209"/>
      <c r="W366" s="194"/>
      <c r="X366"/>
      <c r="Y366" s="4"/>
      <c r="Z366" s="4"/>
      <c r="AA366"/>
      <c r="AB366"/>
      <c r="AC366"/>
      <c r="AH366" s="172"/>
      <c r="AI366" s="172"/>
      <c r="AJ366" s="171" t="s">
        <v>1139</v>
      </c>
    </row>
    <row r="367" spans="1:43" x14ac:dyDescent="0.2">
      <c r="A367" s="250"/>
      <c r="G367" s="205"/>
      <c r="H367" s="197"/>
      <c r="W367" s="194"/>
      <c r="X367"/>
      <c r="Y367" s="4"/>
      <c r="Z367" s="4"/>
      <c r="AA367"/>
      <c r="AB367"/>
      <c r="AC367"/>
    </row>
    <row r="368" spans="1:43" ht="16.5" x14ac:dyDescent="0.25">
      <c r="A368" s="251" t="s">
        <v>1</v>
      </c>
      <c r="B368" s="151" t="str">
        <f>$B$5</f>
        <v>RM</v>
      </c>
      <c r="C368" s="151" t="str">
        <f>$C$5</f>
        <v>RF</v>
      </c>
      <c r="D368" s="151" t="str">
        <f>$D$5</f>
        <v>Accts</v>
      </c>
      <c r="E368" s="151"/>
      <c r="F368" s="151" t="str">
        <f>$F$5</f>
        <v>Share DD</v>
      </c>
      <c r="G368" s="210" t="str">
        <f>$G$5</f>
        <v xml:space="preserve">2022 Share </v>
      </c>
      <c r="H368" s="211" t="str">
        <f>$H$5</f>
        <v xml:space="preserve">2022 Paid </v>
      </c>
      <c r="I368" s="211" t="str">
        <f>$I$5</f>
        <v xml:space="preserve">% Paid </v>
      </c>
      <c r="J368" s="212">
        <f>$J$5</f>
        <v>44592</v>
      </c>
      <c r="K368" s="212">
        <f>$K$5</f>
        <v>44620</v>
      </c>
      <c r="L368" s="212">
        <f>$L$5</f>
        <v>44651</v>
      </c>
      <c r="M368" s="212">
        <f>$M$5</f>
        <v>44681</v>
      </c>
      <c r="N368" s="212">
        <f>$N$5</f>
        <v>44712</v>
      </c>
      <c r="O368" s="212">
        <f>$O$5</f>
        <v>44742</v>
      </c>
      <c r="P368" s="212">
        <f>$P$5</f>
        <v>44773</v>
      </c>
      <c r="Q368" s="212">
        <f>$Q$5</f>
        <v>44804</v>
      </c>
      <c r="R368" s="212">
        <f>$R$5</f>
        <v>44834</v>
      </c>
      <c r="S368" s="155">
        <f>$S$5</f>
        <v>44865</v>
      </c>
      <c r="T368" s="155">
        <f>$T$5</f>
        <v>44895</v>
      </c>
      <c r="U368" s="155">
        <f>$U$5</f>
        <v>44926</v>
      </c>
      <c r="V368" s="78"/>
      <c r="W368" s="195" t="str">
        <f>$W$5</f>
        <v xml:space="preserve">Outstanding </v>
      </c>
      <c r="X368" s="2"/>
      <c r="Y368" s="4"/>
      <c r="Z368" s="4"/>
      <c r="AA368" s="2">
        <f>$AA$5</f>
        <v>44957</v>
      </c>
      <c r="AB368" s="2">
        <f>$AB$5</f>
        <v>44985</v>
      </c>
      <c r="AC368" s="2">
        <f>$AC$5</f>
        <v>45016</v>
      </c>
      <c r="AE368" s="152" t="str">
        <f>$AE$5</f>
        <v>Benefice</v>
      </c>
      <c r="AH368" s="16" t="s">
        <v>1141</v>
      </c>
      <c r="AJ368" s="170" t="s">
        <v>1140</v>
      </c>
      <c r="AQ368" s="222">
        <f>AQ5</f>
        <v>44588</v>
      </c>
    </row>
    <row r="369" spans="1:45" ht="16.5" x14ac:dyDescent="0.25">
      <c r="A369" s="250"/>
      <c r="G369" s="201" t="s">
        <v>1040</v>
      </c>
      <c r="H369" s="202" t="s">
        <v>1040</v>
      </c>
      <c r="I369" s="203"/>
      <c r="J369" s="202" t="s">
        <v>1040</v>
      </c>
      <c r="K369" s="202" t="s">
        <v>1040</v>
      </c>
      <c r="L369" s="202" t="s">
        <v>1040</v>
      </c>
      <c r="M369" s="202" t="s">
        <v>1040</v>
      </c>
      <c r="N369" s="202" t="s">
        <v>1040</v>
      </c>
      <c r="O369" s="202" t="s">
        <v>1040</v>
      </c>
      <c r="P369" s="202" t="s">
        <v>1040</v>
      </c>
      <c r="Q369" s="202" t="s">
        <v>1040</v>
      </c>
      <c r="R369" s="202" t="s">
        <v>1040</v>
      </c>
      <c r="S369" s="147" t="s">
        <v>1040</v>
      </c>
      <c r="T369" s="147" t="s">
        <v>1040</v>
      </c>
      <c r="U369" s="147" t="s">
        <v>1040</v>
      </c>
      <c r="W369" s="194"/>
      <c r="X369"/>
      <c r="Y369" s="4"/>
      <c r="Z369" s="4"/>
      <c r="AA369"/>
      <c r="AB369"/>
      <c r="AC369"/>
      <c r="AJ369" s="23"/>
    </row>
    <row r="370" spans="1:45" x14ac:dyDescent="0.2">
      <c r="Y370" s="4"/>
      <c r="Z370" s="4"/>
      <c r="AJ370" s="23"/>
    </row>
    <row r="371" spans="1:45" x14ac:dyDescent="0.2">
      <c r="A371" s="226" t="s">
        <v>264</v>
      </c>
      <c r="B371" s="9" t="s">
        <v>495</v>
      </c>
      <c r="C371" s="9">
        <v>0</v>
      </c>
      <c r="D371" s="9">
        <v>0</v>
      </c>
      <c r="E371" s="9"/>
      <c r="F371" s="9" t="s">
        <v>495</v>
      </c>
      <c r="G371" s="83">
        <v>9222</v>
      </c>
      <c r="H371" s="83">
        <f t="shared" ref="H371:H404" si="84">SUM(J371:U371)+SUM(AA371:AC371)</f>
        <v>4611</v>
      </c>
      <c r="I371" s="133">
        <f t="shared" ref="I371:I404" si="85">ROUND((H371/G371),4)</f>
        <v>0.5</v>
      </c>
      <c r="J371" s="82"/>
      <c r="K371" s="82"/>
      <c r="L371" s="82"/>
      <c r="M371" s="82"/>
      <c r="N371" s="82"/>
      <c r="O371" s="82"/>
      <c r="P371" s="82"/>
      <c r="Q371" s="82"/>
      <c r="R371" s="82"/>
      <c r="S371" s="23">
        <v>4611</v>
      </c>
      <c r="T371" s="23"/>
      <c r="U371" s="23"/>
      <c r="V371" s="7" t="s">
        <v>744</v>
      </c>
      <c r="W371" s="82">
        <f t="shared" ref="W371:W404" si="86">G371-H371</f>
        <v>4611</v>
      </c>
      <c r="Y371" s="4"/>
      <c r="Z371" s="4"/>
      <c r="AA371" s="82"/>
      <c r="AB371" s="82"/>
      <c r="AC371" s="82"/>
      <c r="AD371" s="23"/>
      <c r="AE371" s="7" t="s">
        <v>465</v>
      </c>
      <c r="AH371" s="23">
        <f>SUM('2021 Detail'!J355:U355)+SUM('2021 Detail'!AA355)</f>
        <v>4201</v>
      </c>
      <c r="AJ371" s="23">
        <f t="shared" si="78"/>
        <v>410</v>
      </c>
      <c r="AL371" t="str">
        <f t="shared" ref="AL371:AL404" si="87">IF(AJ371&lt;0,"Down",IF(AJ371&gt;0,"Up","Same"))</f>
        <v>Up</v>
      </c>
      <c r="AQ371" s="23">
        <v>4000</v>
      </c>
    </row>
    <row r="372" spans="1:45" x14ac:dyDescent="0.2">
      <c r="A372" s="226" t="s">
        <v>265</v>
      </c>
      <c r="B372" s="9" t="s">
        <v>495</v>
      </c>
      <c r="C372" s="9" t="s">
        <v>495</v>
      </c>
      <c r="D372" s="9" t="s">
        <v>495</v>
      </c>
      <c r="E372" s="9"/>
      <c r="F372" s="9">
        <v>0</v>
      </c>
      <c r="G372" s="83">
        <v>4369</v>
      </c>
      <c r="H372" s="83">
        <f t="shared" si="84"/>
        <v>4369</v>
      </c>
      <c r="I372" s="133">
        <f t="shared" si="85"/>
        <v>1</v>
      </c>
      <c r="J372" s="82"/>
      <c r="K372" s="82"/>
      <c r="L372" s="82"/>
      <c r="M372" s="82">
        <v>4369</v>
      </c>
      <c r="N372" s="82"/>
      <c r="O372" s="82"/>
      <c r="P372" s="82"/>
      <c r="Q372" s="82"/>
      <c r="R372" s="82"/>
      <c r="S372" s="23"/>
      <c r="T372" s="23"/>
      <c r="U372" s="23"/>
      <c r="V372" s="7" t="s">
        <v>745</v>
      </c>
      <c r="W372" s="82">
        <f t="shared" si="86"/>
        <v>0</v>
      </c>
      <c r="Y372" s="4"/>
      <c r="Z372" s="4"/>
      <c r="AA372" s="82"/>
      <c r="AB372" s="82"/>
      <c r="AC372" s="82"/>
      <c r="AD372" s="23"/>
      <c r="AE372" s="7" t="s">
        <v>465</v>
      </c>
      <c r="AH372" s="23">
        <f>SUM('2021 Detail'!J356:U356)+SUM('2021 Detail'!AA356)</f>
        <v>4369</v>
      </c>
      <c r="AJ372" s="23">
        <f t="shared" si="78"/>
        <v>0</v>
      </c>
      <c r="AL372" t="str">
        <f t="shared" si="87"/>
        <v>Same</v>
      </c>
    </row>
    <row r="373" spans="1:45" x14ac:dyDescent="0.2">
      <c r="A373" s="226" t="s">
        <v>266</v>
      </c>
      <c r="B373" s="9" t="s">
        <v>495</v>
      </c>
      <c r="C373" s="9">
        <v>0</v>
      </c>
      <c r="D373" s="9">
        <v>0</v>
      </c>
      <c r="E373" s="9"/>
      <c r="F373" s="9" t="s">
        <v>495</v>
      </c>
      <c r="G373" s="83">
        <v>2427</v>
      </c>
      <c r="H373" s="83">
        <f t="shared" si="84"/>
        <v>2080.29</v>
      </c>
      <c r="I373" s="133">
        <f t="shared" si="85"/>
        <v>0.85709999999999997</v>
      </c>
      <c r="J373" s="82"/>
      <c r="K373" s="82"/>
      <c r="L373" s="82"/>
      <c r="M373" s="82"/>
      <c r="N373" s="82"/>
      <c r="O373" s="82">
        <v>346.74</v>
      </c>
      <c r="P373" s="82">
        <v>346.71</v>
      </c>
      <c r="Q373" s="82">
        <v>346.71</v>
      </c>
      <c r="R373" s="82">
        <v>346.71</v>
      </c>
      <c r="S373" s="23">
        <v>346.71</v>
      </c>
      <c r="T373" s="23">
        <v>346.71</v>
      </c>
      <c r="U373" s="23">
        <v>0</v>
      </c>
      <c r="V373" s="7" t="s">
        <v>746</v>
      </c>
      <c r="W373" s="82">
        <f t="shared" si="86"/>
        <v>346.71000000000004</v>
      </c>
      <c r="Y373" s="4"/>
      <c r="Z373" s="4"/>
      <c r="AA373" s="82"/>
      <c r="AB373" s="82"/>
      <c r="AC373" s="82"/>
      <c r="AD373" s="23"/>
      <c r="AE373" s="7" t="s">
        <v>465</v>
      </c>
      <c r="AH373" s="23">
        <f>SUM('2021 Detail'!J357:U357)+SUM('2021 Detail'!AA357)</f>
        <v>1820.25</v>
      </c>
      <c r="AJ373" s="23">
        <f t="shared" si="78"/>
        <v>260.03999999999996</v>
      </c>
      <c r="AL373" t="str">
        <f t="shared" si="87"/>
        <v>Up</v>
      </c>
    </row>
    <row r="374" spans="1:45" x14ac:dyDescent="0.2">
      <c r="A374" s="226" t="s">
        <v>267</v>
      </c>
      <c r="B374" s="9" t="s">
        <v>495</v>
      </c>
      <c r="C374" s="9" t="s">
        <v>495</v>
      </c>
      <c r="D374" s="9" t="s">
        <v>495</v>
      </c>
      <c r="E374" s="9"/>
      <c r="F374" s="9">
        <v>0</v>
      </c>
      <c r="G374" s="83">
        <v>6795</v>
      </c>
      <c r="H374" s="83">
        <f t="shared" si="84"/>
        <v>3200</v>
      </c>
      <c r="I374" s="133">
        <f t="shared" si="85"/>
        <v>0.47089999999999999</v>
      </c>
      <c r="J374" s="82"/>
      <c r="K374" s="82"/>
      <c r="L374" s="82"/>
      <c r="M374" s="82"/>
      <c r="N374" s="82"/>
      <c r="O374" s="82"/>
      <c r="P374" s="82"/>
      <c r="Q374" s="82"/>
      <c r="R374" s="82"/>
      <c r="S374" s="23"/>
      <c r="T374" s="23"/>
      <c r="U374" s="23">
        <v>3200</v>
      </c>
      <c r="V374" s="7" t="s">
        <v>747</v>
      </c>
      <c r="W374" s="82">
        <f t="shared" si="86"/>
        <v>3595</v>
      </c>
      <c r="Y374" s="4"/>
      <c r="Z374" s="4"/>
      <c r="AA374" s="82"/>
      <c r="AB374" s="82"/>
      <c r="AC374" s="82"/>
      <c r="AD374" s="23"/>
      <c r="AE374" s="7" t="s">
        <v>465</v>
      </c>
      <c r="AH374" s="23">
        <f>SUM('2021 Detail'!J358:U358)+SUM('2021 Detail'!AA358)</f>
        <v>3250</v>
      </c>
      <c r="AJ374" s="23">
        <f t="shared" si="78"/>
        <v>-50</v>
      </c>
      <c r="AL374" t="str">
        <f t="shared" si="87"/>
        <v>Down</v>
      </c>
      <c r="AQ374" s="23">
        <v>3250</v>
      </c>
    </row>
    <row r="375" spans="1:45" x14ac:dyDescent="0.2">
      <c r="A375" s="226" t="s">
        <v>268</v>
      </c>
      <c r="B375" s="9" t="s">
        <v>495</v>
      </c>
      <c r="C375" s="9">
        <v>0</v>
      </c>
      <c r="D375" s="9">
        <v>0</v>
      </c>
      <c r="E375" s="9"/>
      <c r="F375" s="9">
        <v>0</v>
      </c>
      <c r="G375" s="83">
        <v>4853</v>
      </c>
      <c r="H375" s="83">
        <f t="shared" si="84"/>
        <v>3000</v>
      </c>
      <c r="I375" s="133">
        <f t="shared" si="85"/>
        <v>0.61819999999999997</v>
      </c>
      <c r="J375" s="82"/>
      <c r="K375" s="82"/>
      <c r="L375" s="82"/>
      <c r="M375" s="82"/>
      <c r="N375" s="82"/>
      <c r="O375" s="82"/>
      <c r="P375" s="82"/>
      <c r="Q375" s="82"/>
      <c r="R375" s="82"/>
      <c r="S375" s="23"/>
      <c r="T375" s="23"/>
      <c r="U375" s="23">
        <v>3000</v>
      </c>
      <c r="V375" s="7" t="s">
        <v>748</v>
      </c>
      <c r="W375" s="82">
        <f t="shared" si="86"/>
        <v>1853</v>
      </c>
      <c r="Y375" s="4"/>
      <c r="Z375" s="4"/>
      <c r="AA375" s="82"/>
      <c r="AB375" s="82"/>
      <c r="AC375" s="82"/>
      <c r="AD375" s="23"/>
      <c r="AE375" s="7" t="s">
        <v>465</v>
      </c>
      <c r="AH375" s="23">
        <f>SUM('2021 Detail'!J359:U359)+SUM('2021 Detail'!AA359)</f>
        <v>3400</v>
      </c>
      <c r="AJ375" s="23">
        <f t="shared" si="78"/>
        <v>-400</v>
      </c>
      <c r="AL375" t="str">
        <f t="shared" si="87"/>
        <v>Down</v>
      </c>
      <c r="AQ375" s="23">
        <v>3400</v>
      </c>
    </row>
    <row r="376" spans="1:45" x14ac:dyDescent="0.2">
      <c r="A376" s="226" t="s">
        <v>269</v>
      </c>
      <c r="B376" s="9" t="s">
        <v>495</v>
      </c>
      <c r="C376" s="9" t="s">
        <v>495</v>
      </c>
      <c r="D376" s="9">
        <v>0</v>
      </c>
      <c r="E376" s="9"/>
      <c r="F376" s="9">
        <v>0</v>
      </c>
      <c r="G376" s="83">
        <v>24684</v>
      </c>
      <c r="H376" s="83">
        <f t="shared" si="84"/>
        <v>6000</v>
      </c>
      <c r="I376" s="133">
        <f t="shared" si="85"/>
        <v>0.24310000000000001</v>
      </c>
      <c r="J376" s="82">
        <v>500</v>
      </c>
      <c r="K376" s="82">
        <v>500</v>
      </c>
      <c r="L376" s="82">
        <v>500</v>
      </c>
      <c r="M376" s="82">
        <v>500</v>
      </c>
      <c r="N376" s="82">
        <v>500</v>
      </c>
      <c r="O376" s="82">
        <v>500</v>
      </c>
      <c r="P376" s="82">
        <v>500</v>
      </c>
      <c r="Q376" s="82">
        <v>500</v>
      </c>
      <c r="R376" s="82">
        <v>500</v>
      </c>
      <c r="S376" s="23">
        <v>500</v>
      </c>
      <c r="T376" s="23">
        <v>500</v>
      </c>
      <c r="U376" s="23">
        <v>500</v>
      </c>
      <c r="V376" s="7" t="s">
        <v>749</v>
      </c>
      <c r="W376" s="82">
        <f t="shared" si="86"/>
        <v>18684</v>
      </c>
      <c r="Y376" s="4"/>
      <c r="Z376" s="4"/>
      <c r="AA376" s="82"/>
      <c r="AB376" s="82"/>
      <c r="AC376" s="82"/>
      <c r="AD376" s="23"/>
      <c r="AE376" s="7" t="s">
        <v>467</v>
      </c>
      <c r="AH376" s="23">
        <f>SUM('2021 Detail'!J360:U360)+SUM('2021 Detail'!AA360)</f>
        <v>8000</v>
      </c>
      <c r="AJ376" s="23">
        <f t="shared" si="78"/>
        <v>-2000</v>
      </c>
      <c r="AL376" t="str">
        <f t="shared" si="87"/>
        <v>Down</v>
      </c>
      <c r="AQ376" s="23">
        <v>2500</v>
      </c>
    </row>
    <row r="377" spans="1:45" x14ac:dyDescent="0.2">
      <c r="A377" s="226" t="s">
        <v>270</v>
      </c>
      <c r="B377" s="9" t="s">
        <v>495</v>
      </c>
      <c r="C377" s="9" t="s">
        <v>495</v>
      </c>
      <c r="D377" s="9">
        <v>0</v>
      </c>
      <c r="E377" s="9"/>
      <c r="F377" s="9">
        <v>0</v>
      </c>
      <c r="G377" s="83">
        <v>5551</v>
      </c>
      <c r="H377" s="83">
        <f t="shared" si="84"/>
        <v>5551</v>
      </c>
      <c r="I377" s="133">
        <f t="shared" si="85"/>
        <v>1</v>
      </c>
      <c r="J377" s="82"/>
      <c r="K377" s="82"/>
      <c r="L377" s="82"/>
      <c r="M377" s="82"/>
      <c r="N377" s="82"/>
      <c r="O377" s="82"/>
      <c r="P377" s="82"/>
      <c r="Q377" s="82"/>
      <c r="R377" s="82">
        <v>3500</v>
      </c>
      <c r="S377" s="23"/>
      <c r="T377" s="23"/>
      <c r="U377" s="23">
        <v>2051</v>
      </c>
      <c r="V377" s="7" t="s">
        <v>750</v>
      </c>
      <c r="W377" s="82">
        <f t="shared" si="86"/>
        <v>0</v>
      </c>
      <c r="Y377" s="4"/>
      <c r="Z377" s="4"/>
      <c r="AA377" s="82"/>
      <c r="AB377" s="82"/>
      <c r="AC377" s="82"/>
      <c r="AD377" s="23"/>
      <c r="AE377" s="7" t="s">
        <v>467</v>
      </c>
      <c r="AH377" s="23">
        <f>SUM('2021 Detail'!J361:U361)+SUM('2021 Detail'!AA361)</f>
        <v>5551</v>
      </c>
      <c r="AJ377" s="23">
        <f t="shared" si="78"/>
        <v>0</v>
      </c>
      <c r="AL377" t="str">
        <f t="shared" si="87"/>
        <v>Same</v>
      </c>
      <c r="AQ377" s="23">
        <v>2551</v>
      </c>
    </row>
    <row r="378" spans="1:45" x14ac:dyDescent="0.2">
      <c r="A378" s="226" t="s">
        <v>271</v>
      </c>
      <c r="B378" s="9" t="s">
        <v>495</v>
      </c>
      <c r="C378" s="9" t="s">
        <v>495</v>
      </c>
      <c r="D378" s="9">
        <v>0</v>
      </c>
      <c r="E378" s="9"/>
      <c r="F378" s="9">
        <v>0</v>
      </c>
      <c r="G378" s="83">
        <v>4478</v>
      </c>
      <c r="H378" s="83">
        <f t="shared" si="84"/>
        <v>3582.4</v>
      </c>
      <c r="I378" s="133">
        <f t="shared" si="85"/>
        <v>0.8</v>
      </c>
      <c r="J378" s="82"/>
      <c r="K378" s="82"/>
      <c r="L378" s="82"/>
      <c r="M378" s="82"/>
      <c r="N378" s="82"/>
      <c r="O378" s="82"/>
      <c r="P378" s="82"/>
      <c r="Q378" s="82"/>
      <c r="R378" s="82"/>
      <c r="S378" s="23"/>
      <c r="T378" s="23">
        <v>3582.4</v>
      </c>
      <c r="U378" s="23"/>
      <c r="V378" s="7" t="s">
        <v>751</v>
      </c>
      <c r="W378" s="82">
        <f t="shared" si="86"/>
        <v>895.59999999999991</v>
      </c>
      <c r="Y378" s="4"/>
      <c r="Z378" s="4"/>
      <c r="AA378" s="82"/>
      <c r="AB378" s="82"/>
      <c r="AC378" s="82"/>
      <c r="AD378" s="23"/>
      <c r="AE378" s="7" t="s">
        <v>467</v>
      </c>
      <c r="AH378" s="23">
        <f>SUM('2021 Detail'!J362:U362)+SUM('2021 Detail'!AA362)</f>
        <v>4478</v>
      </c>
      <c r="AJ378" s="23">
        <f t="shared" si="78"/>
        <v>-895.59999999999991</v>
      </c>
      <c r="AL378" t="str">
        <f t="shared" si="87"/>
        <v>Down</v>
      </c>
    </row>
    <row r="379" spans="1:45" x14ac:dyDescent="0.2">
      <c r="A379" s="226" t="s">
        <v>272</v>
      </c>
      <c r="B379" s="9">
        <v>0</v>
      </c>
      <c r="C379" s="9">
        <v>0</v>
      </c>
      <c r="D379" s="9">
        <v>0</v>
      </c>
      <c r="E379" s="9"/>
      <c r="F379" s="9" t="s">
        <v>495</v>
      </c>
      <c r="G379" s="83">
        <v>13480</v>
      </c>
      <c r="H379" s="83">
        <f t="shared" si="84"/>
        <v>6740</v>
      </c>
      <c r="I379" s="133">
        <f t="shared" si="85"/>
        <v>0.5</v>
      </c>
      <c r="J379" s="82">
        <v>3370</v>
      </c>
      <c r="K379" s="82"/>
      <c r="L379" s="82"/>
      <c r="M379" s="82"/>
      <c r="N379" s="82"/>
      <c r="O379" s="82"/>
      <c r="P379" s="82"/>
      <c r="Q379" s="82"/>
      <c r="R379" s="82"/>
      <c r="S379" s="23">
        <v>3370</v>
      </c>
      <c r="T379" s="23"/>
      <c r="U379" s="23"/>
      <c r="V379" s="7" t="s">
        <v>752</v>
      </c>
      <c r="W379" s="82">
        <f t="shared" si="86"/>
        <v>6740</v>
      </c>
      <c r="Y379" s="4"/>
      <c r="Z379" s="4"/>
      <c r="AA379" s="82"/>
      <c r="AB379" s="82"/>
      <c r="AC379" s="82"/>
      <c r="AD379" s="23"/>
      <c r="AE379" s="7" t="s">
        <v>466</v>
      </c>
      <c r="AH379" s="23">
        <f>SUM('2021 Detail'!J363:U363)+SUM('2021 Detail'!AA363)</f>
        <v>6740</v>
      </c>
      <c r="AJ379" s="23">
        <f t="shared" si="78"/>
        <v>0</v>
      </c>
      <c r="AL379" t="str">
        <f t="shared" si="87"/>
        <v>Same</v>
      </c>
    </row>
    <row r="380" spans="1:45" x14ac:dyDescent="0.2">
      <c r="A380" s="226" t="s">
        <v>273</v>
      </c>
      <c r="B380" s="9">
        <v>0</v>
      </c>
      <c r="C380" s="9">
        <v>0</v>
      </c>
      <c r="D380" s="9">
        <v>0</v>
      </c>
      <c r="E380" s="9"/>
      <c r="F380" s="9">
        <v>0</v>
      </c>
      <c r="G380" s="83">
        <v>6336</v>
      </c>
      <c r="H380" s="83">
        <f t="shared" si="84"/>
        <v>4000</v>
      </c>
      <c r="I380" s="133">
        <f t="shared" si="85"/>
        <v>0.63129999999999997</v>
      </c>
      <c r="J380" s="82"/>
      <c r="K380" s="82"/>
      <c r="L380" s="82"/>
      <c r="M380" s="82">
        <v>2000</v>
      </c>
      <c r="N380" s="82"/>
      <c r="O380" s="82"/>
      <c r="P380" s="82"/>
      <c r="Q380" s="82"/>
      <c r="R380" s="82">
        <v>2000</v>
      </c>
      <c r="S380" s="23"/>
      <c r="T380" s="23"/>
      <c r="U380" s="23"/>
      <c r="V380" s="7" t="s">
        <v>753</v>
      </c>
      <c r="W380" s="82">
        <f t="shared" si="86"/>
        <v>2336</v>
      </c>
      <c r="Y380" s="4"/>
      <c r="Z380" s="4"/>
      <c r="AA380" s="82"/>
      <c r="AB380" s="82"/>
      <c r="AC380" s="82"/>
      <c r="AD380" s="23"/>
      <c r="AE380" s="7" t="s">
        <v>468</v>
      </c>
      <c r="AH380" s="23">
        <f>SUM('2021 Detail'!J364:U364)+SUM('2021 Detail'!AA364)</f>
        <v>6338</v>
      </c>
      <c r="AJ380" s="23">
        <f t="shared" si="78"/>
        <v>-2338</v>
      </c>
      <c r="AL380" t="str">
        <f t="shared" si="87"/>
        <v>Down</v>
      </c>
    </row>
    <row r="381" spans="1:45" x14ac:dyDescent="0.2">
      <c r="A381" s="226" t="s">
        <v>274</v>
      </c>
      <c r="B381" s="9" t="s">
        <v>495</v>
      </c>
      <c r="C381" s="9">
        <v>0</v>
      </c>
      <c r="D381" s="9">
        <v>0</v>
      </c>
      <c r="E381" s="9"/>
      <c r="F381" s="9" t="s">
        <v>495</v>
      </c>
      <c r="G381" s="83">
        <v>15340</v>
      </c>
      <c r="H381" s="83">
        <f t="shared" si="84"/>
        <v>15339.999999999998</v>
      </c>
      <c r="I381" s="133">
        <f t="shared" si="85"/>
        <v>1</v>
      </c>
      <c r="J381" s="82">
        <v>1278.3699999999999</v>
      </c>
      <c r="K381" s="82">
        <v>1278.33</v>
      </c>
      <c r="L381" s="82">
        <v>1278.33</v>
      </c>
      <c r="M381" s="82">
        <v>1278.33</v>
      </c>
      <c r="N381" s="82">
        <v>1278.33</v>
      </c>
      <c r="O381" s="82">
        <v>1278.33</v>
      </c>
      <c r="P381" s="82">
        <v>1278.33</v>
      </c>
      <c r="Q381" s="82">
        <v>1278.33</v>
      </c>
      <c r="R381" s="82">
        <v>1278.33</v>
      </c>
      <c r="S381" s="23">
        <v>1278.33</v>
      </c>
      <c r="T381" s="23">
        <v>1278.33</v>
      </c>
      <c r="U381" s="23">
        <v>1278.33</v>
      </c>
      <c r="V381" s="7" t="s">
        <v>754</v>
      </c>
      <c r="W381" s="82">
        <f t="shared" si="86"/>
        <v>0</v>
      </c>
      <c r="Y381" s="4"/>
      <c r="Z381" s="4"/>
      <c r="AA381" s="82"/>
      <c r="AB381" s="82"/>
      <c r="AC381" s="82"/>
      <c r="AD381" s="23"/>
      <c r="AE381" s="7" t="s">
        <v>466</v>
      </c>
      <c r="AH381" s="23">
        <f>SUM('2021 Detail'!J365:U365)+SUM('2021 Detail'!AA365)</f>
        <v>15339.999999999998</v>
      </c>
      <c r="AJ381" s="23">
        <f t="shared" si="78"/>
        <v>0</v>
      </c>
      <c r="AL381" t="str">
        <f t="shared" si="87"/>
        <v>Same</v>
      </c>
      <c r="AQ381" s="23">
        <v>1278.33</v>
      </c>
    </row>
    <row r="382" spans="1:45" x14ac:dyDescent="0.2">
      <c r="A382" s="226" t="s">
        <v>275</v>
      </c>
      <c r="B382" s="9">
        <v>0</v>
      </c>
      <c r="C382" s="9" t="s">
        <v>495</v>
      </c>
      <c r="D382" s="9" t="s">
        <v>495</v>
      </c>
      <c r="E382" s="9"/>
      <c r="F382" s="9" t="s">
        <v>495</v>
      </c>
      <c r="G382" s="83">
        <v>21600</v>
      </c>
      <c r="H382" s="83">
        <f t="shared" si="84"/>
        <v>16400</v>
      </c>
      <c r="I382" s="133">
        <f t="shared" si="85"/>
        <v>0.75929999999999997</v>
      </c>
      <c r="J382" s="82">
        <v>2000</v>
      </c>
      <c r="K382" s="82"/>
      <c r="L382" s="82"/>
      <c r="M382" s="82"/>
      <c r="N382" s="82">
        <v>2000</v>
      </c>
      <c r="O382" s="82">
        <v>0</v>
      </c>
      <c r="P382" s="82">
        <v>4400</v>
      </c>
      <c r="Q382" s="82"/>
      <c r="R382" s="82">
        <v>2000</v>
      </c>
      <c r="S382" s="23"/>
      <c r="T382" s="23">
        <v>3000</v>
      </c>
      <c r="U382" s="23"/>
      <c r="V382" s="7" t="s">
        <v>755</v>
      </c>
      <c r="W382" s="82">
        <f t="shared" si="86"/>
        <v>5200</v>
      </c>
      <c r="Y382" s="4"/>
      <c r="Z382" s="4"/>
      <c r="AA382" s="82">
        <v>3000</v>
      </c>
      <c r="AB382" s="82"/>
      <c r="AC382" s="82"/>
      <c r="AD382" s="23"/>
      <c r="AE382" s="7" t="s">
        <v>471</v>
      </c>
      <c r="AH382" s="23">
        <f>SUM('2021 Detail'!J366:U366)+SUM('2021 Detail'!AA366)</f>
        <v>14700</v>
      </c>
      <c r="AJ382" s="23">
        <f t="shared" si="78"/>
        <v>1700</v>
      </c>
      <c r="AL382" t="str">
        <f t="shared" si="87"/>
        <v>Up</v>
      </c>
      <c r="AQ382" s="23">
        <v>5500</v>
      </c>
      <c r="AS382" t="s">
        <v>1110</v>
      </c>
    </row>
    <row r="383" spans="1:45" x14ac:dyDescent="0.2">
      <c r="A383" s="226" t="s">
        <v>276</v>
      </c>
      <c r="B383" s="9">
        <v>0</v>
      </c>
      <c r="C383" s="9">
        <v>0</v>
      </c>
      <c r="D383" s="9">
        <v>0</v>
      </c>
      <c r="E383" s="9"/>
      <c r="F383" s="9" t="s">
        <v>495</v>
      </c>
      <c r="G383" s="83">
        <v>10050</v>
      </c>
      <c r="H383" s="83">
        <f t="shared" si="84"/>
        <v>7500</v>
      </c>
      <c r="I383" s="133">
        <f t="shared" si="85"/>
        <v>0.74629999999999996</v>
      </c>
      <c r="J383" s="82"/>
      <c r="K383" s="82">
        <v>1500</v>
      </c>
      <c r="L383" s="82"/>
      <c r="M383" s="82"/>
      <c r="N383" s="82"/>
      <c r="O383" s="82"/>
      <c r="P383" s="82"/>
      <c r="Q383" s="82"/>
      <c r="R383" s="82">
        <v>1500</v>
      </c>
      <c r="S383" s="23"/>
      <c r="T383" s="23">
        <v>2000</v>
      </c>
      <c r="U383" s="23">
        <v>2500</v>
      </c>
      <c r="V383" s="7" t="s">
        <v>756</v>
      </c>
      <c r="W383" s="82">
        <f t="shared" si="86"/>
        <v>2550</v>
      </c>
      <c r="Y383" s="4"/>
      <c r="Z383" s="4"/>
      <c r="AA383" s="82"/>
      <c r="AB383" s="82"/>
      <c r="AC383" s="82"/>
      <c r="AD383" s="23"/>
      <c r="AE383" s="7" t="s">
        <v>471</v>
      </c>
      <c r="AH383" s="23">
        <f>SUM('2021 Detail'!J367:U367)+SUM('2021 Detail'!AA367)</f>
        <v>10050</v>
      </c>
      <c r="AJ383" s="23">
        <f t="shared" si="78"/>
        <v>-2550</v>
      </c>
      <c r="AL383" t="str">
        <f t="shared" si="87"/>
        <v>Down</v>
      </c>
      <c r="AQ383" s="23">
        <v>4050</v>
      </c>
    </row>
    <row r="384" spans="1:45" x14ac:dyDescent="0.2">
      <c r="A384" s="226" t="s">
        <v>277</v>
      </c>
      <c r="B384" s="9">
        <v>0</v>
      </c>
      <c r="C384" s="9">
        <v>0</v>
      </c>
      <c r="D384" s="9" t="s">
        <v>495</v>
      </c>
      <c r="E384" s="9"/>
      <c r="F384" s="9">
        <v>0</v>
      </c>
      <c r="G384" s="83">
        <v>13350</v>
      </c>
      <c r="H384" s="83">
        <f t="shared" si="84"/>
        <v>0</v>
      </c>
      <c r="I384" s="133">
        <f t="shared" si="85"/>
        <v>0</v>
      </c>
      <c r="J384" s="82"/>
      <c r="K384" s="82"/>
      <c r="L384" s="82"/>
      <c r="M384" s="82"/>
      <c r="N384" s="82"/>
      <c r="O384" s="82"/>
      <c r="P384" s="82"/>
      <c r="Q384" s="82"/>
      <c r="R384" s="82"/>
      <c r="S384" s="23"/>
      <c r="T384" s="23"/>
      <c r="U384" s="23"/>
      <c r="V384" s="7" t="s">
        <v>757</v>
      </c>
      <c r="W384" s="82">
        <f t="shared" si="86"/>
        <v>13350</v>
      </c>
      <c r="Y384" s="4"/>
      <c r="Z384" s="4"/>
      <c r="AA384" s="82"/>
      <c r="AB384" s="82"/>
      <c r="AC384" s="82"/>
      <c r="AD384" s="23"/>
      <c r="AE384" s="7" t="s">
        <v>471</v>
      </c>
      <c r="AH384" s="23">
        <f>SUM('2021 Detail'!J368:U368)+SUM('2021 Detail'!AA368)</f>
        <v>0</v>
      </c>
      <c r="AJ384" s="23">
        <f t="shared" si="78"/>
        <v>0</v>
      </c>
      <c r="AL384" t="str">
        <f t="shared" si="87"/>
        <v>Same</v>
      </c>
    </row>
    <row r="385" spans="1:43" x14ac:dyDescent="0.2">
      <c r="A385" s="226" t="s">
        <v>278</v>
      </c>
      <c r="B385" s="9" t="s">
        <v>495</v>
      </c>
      <c r="C385" s="9" t="s">
        <v>495</v>
      </c>
      <c r="D385" s="9" t="s">
        <v>495</v>
      </c>
      <c r="E385" s="9"/>
      <c r="F385" s="9" t="s">
        <v>495</v>
      </c>
      <c r="G385" s="83">
        <v>128728</v>
      </c>
      <c r="H385" s="83">
        <f t="shared" si="84"/>
        <v>128728.00000000001</v>
      </c>
      <c r="I385" s="133">
        <f t="shared" si="85"/>
        <v>1</v>
      </c>
      <c r="J385" s="82">
        <v>10727.37</v>
      </c>
      <c r="K385" s="82">
        <v>10727.33</v>
      </c>
      <c r="L385" s="82">
        <v>10727.33</v>
      </c>
      <c r="M385" s="82">
        <v>10727.33</v>
      </c>
      <c r="N385" s="82">
        <v>10727.33</v>
      </c>
      <c r="O385" s="82">
        <v>10727.33</v>
      </c>
      <c r="P385" s="82">
        <v>10727.33</v>
      </c>
      <c r="Q385" s="82">
        <v>10727.33</v>
      </c>
      <c r="R385" s="82">
        <v>10727.33</v>
      </c>
      <c r="S385" s="23">
        <v>10727.33</v>
      </c>
      <c r="T385" s="23">
        <v>10727.33</v>
      </c>
      <c r="U385" s="23">
        <v>10727.33</v>
      </c>
      <c r="V385" s="7" t="s">
        <v>758</v>
      </c>
      <c r="W385" s="82">
        <f t="shared" si="86"/>
        <v>0</v>
      </c>
      <c r="Y385" s="4"/>
      <c r="Z385" s="4"/>
      <c r="AA385" s="82"/>
      <c r="AB385" s="82"/>
      <c r="AC385" s="82"/>
      <c r="AD385" s="23"/>
      <c r="AE385" s="7" t="s">
        <v>466</v>
      </c>
      <c r="AH385" s="23">
        <f>SUM('2021 Detail'!J369:U369)+SUM('2021 Detail'!AA369)</f>
        <v>128728.00000000001</v>
      </c>
      <c r="AJ385" s="23">
        <f t="shared" si="78"/>
        <v>0</v>
      </c>
      <c r="AL385" t="str">
        <f t="shared" si="87"/>
        <v>Same</v>
      </c>
      <c r="AQ385" s="23">
        <v>10727.33</v>
      </c>
    </row>
    <row r="386" spans="1:43" x14ac:dyDescent="0.2">
      <c r="A386" s="226" t="s">
        <v>279</v>
      </c>
      <c r="B386" s="9" t="s">
        <v>495</v>
      </c>
      <c r="C386" s="9" t="s">
        <v>495</v>
      </c>
      <c r="D386" s="9">
        <v>0</v>
      </c>
      <c r="E386" s="9"/>
      <c r="F386" s="9">
        <v>0</v>
      </c>
      <c r="G386" s="83">
        <v>19898</v>
      </c>
      <c r="H386" s="83">
        <f t="shared" si="84"/>
        <v>15000</v>
      </c>
      <c r="I386" s="133">
        <f t="shared" si="85"/>
        <v>0.75380000000000003</v>
      </c>
      <c r="J386" s="82"/>
      <c r="K386" s="82"/>
      <c r="L386" s="82"/>
      <c r="M386" s="82"/>
      <c r="N386" s="82"/>
      <c r="O386" s="82"/>
      <c r="P386" s="82">
        <v>5000</v>
      </c>
      <c r="Q386" s="82"/>
      <c r="R386" s="82"/>
      <c r="S386" s="23"/>
      <c r="T386" s="23">
        <v>5000</v>
      </c>
      <c r="U386" s="23">
        <v>5000</v>
      </c>
      <c r="V386" s="7" t="s">
        <v>759</v>
      </c>
      <c r="W386" s="82">
        <f t="shared" si="86"/>
        <v>4898</v>
      </c>
      <c r="Y386" s="4"/>
      <c r="Z386" s="4"/>
      <c r="AA386" s="82"/>
      <c r="AB386" s="82"/>
      <c r="AC386" s="82"/>
      <c r="AD386" s="23"/>
      <c r="AE386" s="7" t="s">
        <v>467</v>
      </c>
      <c r="AH386" s="23">
        <f>SUM('2021 Detail'!J370:U370)+SUM('2021 Detail'!AA370)</f>
        <v>19898</v>
      </c>
      <c r="AJ386" s="23">
        <f t="shared" si="78"/>
        <v>-4898</v>
      </c>
      <c r="AL386" t="str">
        <f t="shared" si="87"/>
        <v>Down</v>
      </c>
      <c r="AQ386" s="23">
        <v>4898</v>
      </c>
    </row>
    <row r="387" spans="1:43" x14ac:dyDescent="0.2">
      <c r="A387" s="226" t="s">
        <v>280</v>
      </c>
      <c r="B387" s="9" t="s">
        <v>495</v>
      </c>
      <c r="C387" s="9" t="s">
        <v>495</v>
      </c>
      <c r="D387" s="9" t="s">
        <v>495</v>
      </c>
      <c r="E387" s="9"/>
      <c r="F387" s="9">
        <v>0</v>
      </c>
      <c r="G387" s="83">
        <v>7219</v>
      </c>
      <c r="H387" s="83">
        <f t="shared" si="84"/>
        <v>7219</v>
      </c>
      <c r="I387" s="133">
        <f t="shared" si="85"/>
        <v>1</v>
      </c>
      <c r="J387" s="82"/>
      <c r="K387" s="82"/>
      <c r="L387" s="82"/>
      <c r="M387" s="82"/>
      <c r="N387" s="82"/>
      <c r="O387" s="82">
        <v>3500</v>
      </c>
      <c r="P387" s="82"/>
      <c r="Q387" s="82"/>
      <c r="R387" s="82"/>
      <c r="S387" s="23"/>
      <c r="T387" s="23">
        <v>3719</v>
      </c>
      <c r="U387" s="23"/>
      <c r="V387" s="7" t="s">
        <v>760</v>
      </c>
      <c r="W387" s="82">
        <f t="shared" si="86"/>
        <v>0</v>
      </c>
      <c r="Y387" s="4"/>
      <c r="Z387" s="4"/>
      <c r="AA387" s="82"/>
      <c r="AB387" s="82"/>
      <c r="AC387" s="82"/>
      <c r="AD387" s="23"/>
      <c r="AE387" s="7" t="s">
        <v>467</v>
      </c>
      <c r="AH387" s="23">
        <f>SUM('2021 Detail'!J371:U371)+SUM('2021 Detail'!AA371)</f>
        <v>7219</v>
      </c>
      <c r="AJ387" s="23">
        <f t="shared" si="78"/>
        <v>0</v>
      </c>
      <c r="AL387" t="str">
        <f t="shared" si="87"/>
        <v>Same</v>
      </c>
    </row>
    <row r="388" spans="1:43" x14ac:dyDescent="0.2">
      <c r="A388" s="226" t="s">
        <v>281</v>
      </c>
      <c r="B388" s="9" t="s">
        <v>495</v>
      </c>
      <c r="C388" s="9" t="s">
        <v>495</v>
      </c>
      <c r="D388" s="9">
        <v>0</v>
      </c>
      <c r="E388" s="9"/>
      <c r="F388" s="9" t="s">
        <v>495</v>
      </c>
      <c r="G388" s="83">
        <v>5013</v>
      </c>
      <c r="H388" s="83">
        <f t="shared" si="84"/>
        <v>3509.1</v>
      </c>
      <c r="I388" s="133">
        <f t="shared" si="85"/>
        <v>0.7</v>
      </c>
      <c r="J388" s="82">
        <v>200</v>
      </c>
      <c r="K388" s="82">
        <v>200</v>
      </c>
      <c r="L388" s="82">
        <v>200</v>
      </c>
      <c r="M388" s="82">
        <v>200</v>
      </c>
      <c r="N388" s="82">
        <v>200</v>
      </c>
      <c r="O388" s="82">
        <v>200</v>
      </c>
      <c r="P388" s="82">
        <v>200</v>
      </c>
      <c r="Q388" s="82">
        <v>200</v>
      </c>
      <c r="R388" s="82">
        <v>200</v>
      </c>
      <c r="S388" s="23">
        <v>200</v>
      </c>
      <c r="T388" s="23">
        <v>200</v>
      </c>
      <c r="U388" s="23">
        <v>1309.0999999999999</v>
      </c>
      <c r="V388" s="7" t="s">
        <v>761</v>
      </c>
      <c r="W388" s="82">
        <f t="shared" si="86"/>
        <v>1503.9</v>
      </c>
      <c r="Y388" s="4"/>
      <c r="Z388" s="4"/>
      <c r="AA388" s="82"/>
      <c r="AB388" s="82"/>
      <c r="AC388" s="82"/>
      <c r="AD388" s="23"/>
      <c r="AE388" s="7" t="s">
        <v>467</v>
      </c>
      <c r="AH388" s="23">
        <f>SUM('2021 Detail'!J372:U372)+SUM('2021 Detail'!AA372)</f>
        <v>4511.7</v>
      </c>
      <c r="AJ388" s="23">
        <f t="shared" si="78"/>
        <v>-1002.5999999999999</v>
      </c>
      <c r="AL388" t="str">
        <f t="shared" si="87"/>
        <v>Down</v>
      </c>
      <c r="AQ388" s="23">
        <v>2311.6999999999998</v>
      </c>
    </row>
    <row r="389" spans="1:43" x14ac:dyDescent="0.2">
      <c r="A389" s="226" t="s">
        <v>282</v>
      </c>
      <c r="B389" s="9" t="s">
        <v>495</v>
      </c>
      <c r="C389" s="9">
        <v>0</v>
      </c>
      <c r="D389" s="9">
        <v>0</v>
      </c>
      <c r="E389" s="9"/>
      <c r="F389" s="9">
        <v>0</v>
      </c>
      <c r="G389" s="83">
        <v>6336</v>
      </c>
      <c r="H389" s="83">
        <f t="shared" si="84"/>
        <v>6336</v>
      </c>
      <c r="I389" s="133">
        <f t="shared" si="85"/>
        <v>1</v>
      </c>
      <c r="J389" s="82">
        <v>164</v>
      </c>
      <c r="K389" s="82"/>
      <c r="L389" s="82"/>
      <c r="M389" s="82">
        <v>1400</v>
      </c>
      <c r="N389" s="82"/>
      <c r="O389" s="82"/>
      <c r="P389" s="82"/>
      <c r="Q389" s="82">
        <v>1400</v>
      </c>
      <c r="R389" s="82">
        <v>1200</v>
      </c>
      <c r="S389" s="23"/>
      <c r="T389" s="23"/>
      <c r="U389" s="23">
        <v>2172</v>
      </c>
      <c r="V389" s="7" t="s">
        <v>762</v>
      </c>
      <c r="W389" s="82">
        <f t="shared" si="86"/>
        <v>0</v>
      </c>
      <c r="Y389" s="4"/>
      <c r="Z389" s="4"/>
      <c r="AA389" s="82"/>
      <c r="AB389" s="82"/>
      <c r="AC389" s="82"/>
      <c r="AD389" s="23"/>
      <c r="AE389" s="7" t="s">
        <v>468</v>
      </c>
      <c r="AH389" s="23">
        <f>SUM('2021 Detail'!J373:U373)+SUM('2021 Detail'!AA373)</f>
        <v>6336</v>
      </c>
      <c r="AJ389" s="23">
        <f t="shared" si="78"/>
        <v>0</v>
      </c>
      <c r="AL389" t="str">
        <f t="shared" si="87"/>
        <v>Same</v>
      </c>
      <c r="AQ389" s="23">
        <v>3936</v>
      </c>
    </row>
    <row r="390" spans="1:43" x14ac:dyDescent="0.2">
      <c r="A390" s="226" t="s">
        <v>283</v>
      </c>
      <c r="B390" s="9">
        <v>0</v>
      </c>
      <c r="C390" s="9" t="s">
        <v>495</v>
      </c>
      <c r="D390" s="9">
        <v>0</v>
      </c>
      <c r="E390" s="9"/>
      <c r="F390" s="9">
        <v>0</v>
      </c>
      <c r="G390" s="83">
        <v>6336</v>
      </c>
      <c r="H390" s="83">
        <f t="shared" si="84"/>
        <v>6336</v>
      </c>
      <c r="I390" s="133">
        <f t="shared" si="85"/>
        <v>1</v>
      </c>
      <c r="J390" s="82"/>
      <c r="K390" s="82"/>
      <c r="L390" s="82"/>
      <c r="M390" s="82"/>
      <c r="N390" s="82"/>
      <c r="O390" s="82"/>
      <c r="P390" s="82"/>
      <c r="Q390" s="82"/>
      <c r="R390" s="82"/>
      <c r="S390" s="23"/>
      <c r="T390" s="23">
        <v>6336</v>
      </c>
      <c r="U390" s="23"/>
      <c r="V390" s="7" t="s">
        <v>763</v>
      </c>
      <c r="W390" s="82">
        <f t="shared" si="86"/>
        <v>0</v>
      </c>
      <c r="Y390" s="4"/>
      <c r="Z390" s="4"/>
      <c r="AA390" s="82"/>
      <c r="AB390" s="82"/>
      <c r="AC390" s="82"/>
      <c r="AD390" s="23"/>
      <c r="AE390" s="7" t="s">
        <v>468</v>
      </c>
      <c r="AH390" s="23">
        <f>SUM('2021 Detail'!J374:U374)+SUM('2021 Detail'!AA374)</f>
        <v>6336</v>
      </c>
      <c r="AJ390" s="23">
        <f t="shared" si="78"/>
        <v>0</v>
      </c>
      <c r="AL390" t="str">
        <f t="shared" si="87"/>
        <v>Same</v>
      </c>
    </row>
    <row r="391" spans="1:43" x14ac:dyDescent="0.2">
      <c r="A391" s="226" t="s">
        <v>284</v>
      </c>
      <c r="B391" s="9" t="s">
        <v>495</v>
      </c>
      <c r="C391" s="9" t="s">
        <v>495</v>
      </c>
      <c r="D391" s="9">
        <v>0</v>
      </c>
      <c r="E391" s="9"/>
      <c r="F391" s="9">
        <v>0</v>
      </c>
      <c r="G391" s="83">
        <v>10722</v>
      </c>
      <c r="H391" s="83">
        <f t="shared" si="84"/>
        <v>10722</v>
      </c>
      <c r="I391" s="133">
        <f t="shared" si="85"/>
        <v>1</v>
      </c>
      <c r="J391" s="82"/>
      <c r="K391" s="82"/>
      <c r="L391" s="82"/>
      <c r="M391" s="82"/>
      <c r="N391" s="82"/>
      <c r="O391" s="82"/>
      <c r="P391" s="82"/>
      <c r="Q391" s="82"/>
      <c r="R391" s="82"/>
      <c r="S391" s="23"/>
      <c r="T391" s="23">
        <v>10722</v>
      </c>
      <c r="U391" s="23"/>
      <c r="V391" s="7" t="s">
        <v>764</v>
      </c>
      <c r="W391" s="82">
        <f t="shared" si="86"/>
        <v>0</v>
      </c>
      <c r="Y391" s="4"/>
      <c r="Z391" s="4"/>
      <c r="AA391" s="82"/>
      <c r="AB391" s="82"/>
      <c r="AC391" s="82"/>
      <c r="AD391" s="23"/>
      <c r="AE391" s="7" t="s">
        <v>468</v>
      </c>
      <c r="AH391" s="23">
        <f>SUM('2021 Detail'!J375:U375)+SUM('2021 Detail'!AA375)</f>
        <v>10722</v>
      </c>
      <c r="AJ391" s="23">
        <f t="shared" si="78"/>
        <v>0</v>
      </c>
      <c r="AL391" t="str">
        <f t="shared" si="87"/>
        <v>Same</v>
      </c>
      <c r="AQ391" s="23">
        <v>10722</v>
      </c>
    </row>
    <row r="392" spans="1:43" x14ac:dyDescent="0.2">
      <c r="A392" s="226" t="s">
        <v>285</v>
      </c>
      <c r="B392" s="9">
        <v>0</v>
      </c>
      <c r="C392" s="9">
        <v>0</v>
      </c>
      <c r="D392" s="9">
        <v>0</v>
      </c>
      <c r="E392" s="9"/>
      <c r="F392" s="9" t="s">
        <v>495</v>
      </c>
      <c r="G392" s="83">
        <v>19005</v>
      </c>
      <c r="H392" s="83">
        <f t="shared" si="84"/>
        <v>14253.75</v>
      </c>
      <c r="I392" s="133">
        <f t="shared" si="85"/>
        <v>0.75</v>
      </c>
      <c r="J392" s="82">
        <v>1583.75</v>
      </c>
      <c r="K392" s="82">
        <v>1583.75</v>
      </c>
      <c r="L392" s="82"/>
      <c r="M392" s="82"/>
      <c r="N392" s="82"/>
      <c r="O392" s="82">
        <v>1583.75</v>
      </c>
      <c r="P392" s="82">
        <v>1583.75</v>
      </c>
      <c r="Q392" s="82">
        <v>1583.75</v>
      </c>
      <c r="R392" s="82">
        <v>1583.75</v>
      </c>
      <c r="S392" s="23">
        <v>1583.75</v>
      </c>
      <c r="T392" s="23">
        <v>1583.75</v>
      </c>
      <c r="U392" s="23">
        <v>1583.75</v>
      </c>
      <c r="V392" s="7" t="s">
        <v>765</v>
      </c>
      <c r="W392" s="82">
        <f t="shared" si="86"/>
        <v>4751.25</v>
      </c>
      <c r="Y392" s="4"/>
      <c r="Z392" s="4"/>
      <c r="AA392" s="82"/>
      <c r="AB392" s="82"/>
      <c r="AC392" s="82"/>
      <c r="AD392" s="23"/>
      <c r="AE392" s="7" t="s">
        <v>468</v>
      </c>
      <c r="AH392" s="23">
        <f>SUM('2021 Detail'!J376:U376)+SUM('2021 Detail'!AA376)</f>
        <v>14400</v>
      </c>
      <c r="AJ392" s="23">
        <f t="shared" si="78"/>
        <v>-146.25</v>
      </c>
      <c r="AL392" t="str">
        <f t="shared" si="87"/>
        <v>Down</v>
      </c>
      <c r="AQ392" s="23">
        <v>1600</v>
      </c>
    </row>
    <row r="393" spans="1:43" x14ac:dyDescent="0.2">
      <c r="A393" s="226" t="s">
        <v>286</v>
      </c>
      <c r="B393" s="9">
        <v>0</v>
      </c>
      <c r="C393" s="9">
        <v>0</v>
      </c>
      <c r="D393" s="9">
        <v>0</v>
      </c>
      <c r="E393" s="9"/>
      <c r="F393" s="9" t="s">
        <v>495</v>
      </c>
      <c r="G393" s="83">
        <v>1456</v>
      </c>
      <c r="H393" s="83">
        <f t="shared" si="84"/>
        <v>1456</v>
      </c>
      <c r="I393" s="133">
        <f t="shared" si="85"/>
        <v>1</v>
      </c>
      <c r="J393" s="82">
        <v>20</v>
      </c>
      <c r="K393" s="82">
        <v>20</v>
      </c>
      <c r="L393" s="82">
        <v>20</v>
      </c>
      <c r="M393" s="82">
        <v>20</v>
      </c>
      <c r="N393" s="82">
        <v>220</v>
      </c>
      <c r="O393" s="82">
        <v>20</v>
      </c>
      <c r="P393" s="82">
        <v>20</v>
      </c>
      <c r="Q393" s="82">
        <v>20</v>
      </c>
      <c r="R393" s="82">
        <v>20</v>
      </c>
      <c r="S393" s="23">
        <v>20</v>
      </c>
      <c r="T393" s="23">
        <v>20</v>
      </c>
      <c r="U393" s="23">
        <v>420</v>
      </c>
      <c r="V393" s="7" t="s">
        <v>766</v>
      </c>
      <c r="W393" s="82">
        <f t="shared" si="86"/>
        <v>0</v>
      </c>
      <c r="Y393" s="4"/>
      <c r="Z393" s="4"/>
      <c r="AA393" s="82">
        <v>616</v>
      </c>
      <c r="AB393" s="82"/>
      <c r="AC393" s="82"/>
      <c r="AD393" s="23"/>
      <c r="AE393" s="7" t="s">
        <v>465</v>
      </c>
      <c r="AH393" s="23">
        <f>SUM('2021 Detail'!J377:U377)+SUM('2021 Detail'!AA377)</f>
        <v>1456.05</v>
      </c>
      <c r="AJ393" s="23">
        <f t="shared" si="78"/>
        <v>-4.9999999999954525E-2</v>
      </c>
      <c r="AL393" t="str">
        <f t="shared" si="87"/>
        <v>Down</v>
      </c>
      <c r="AQ393" s="23">
        <v>536.04999999999995</v>
      </c>
    </row>
    <row r="394" spans="1:43" x14ac:dyDescent="0.2">
      <c r="A394" s="226" t="s">
        <v>287</v>
      </c>
      <c r="B394" s="9" t="s">
        <v>495</v>
      </c>
      <c r="C394" s="9" t="s">
        <v>495</v>
      </c>
      <c r="D394" s="9" t="s">
        <v>495</v>
      </c>
      <c r="E394" s="9"/>
      <c r="F394" s="9" t="s">
        <v>495</v>
      </c>
      <c r="G394" s="83">
        <v>19414</v>
      </c>
      <c r="H394" s="83">
        <f t="shared" si="84"/>
        <v>19414</v>
      </c>
      <c r="I394" s="133">
        <f t="shared" si="85"/>
        <v>1</v>
      </c>
      <c r="J394" s="82">
        <v>1617.87</v>
      </c>
      <c r="K394" s="82">
        <v>1617.83</v>
      </c>
      <c r="L394" s="82">
        <v>1617.83</v>
      </c>
      <c r="M394" s="82">
        <v>1617.83</v>
      </c>
      <c r="N394" s="82">
        <v>1617.83</v>
      </c>
      <c r="O394" s="82">
        <v>1617.83</v>
      </c>
      <c r="P394" s="82">
        <v>1617.83</v>
      </c>
      <c r="Q394" s="82">
        <v>1617.83</v>
      </c>
      <c r="R394" s="82">
        <v>1617.83</v>
      </c>
      <c r="S394" s="23">
        <v>1617.83</v>
      </c>
      <c r="T394" s="23">
        <v>1617.83</v>
      </c>
      <c r="U394" s="23">
        <v>1617.83</v>
      </c>
      <c r="V394" s="7" t="s">
        <v>767</v>
      </c>
      <c r="W394" s="82">
        <f t="shared" si="86"/>
        <v>0</v>
      </c>
      <c r="Y394" s="4"/>
      <c r="Z394" s="4"/>
      <c r="AA394" s="82"/>
      <c r="AB394" s="82"/>
      <c r="AC394" s="82"/>
      <c r="AD394" s="23"/>
      <c r="AE394" s="7" t="s">
        <v>465</v>
      </c>
      <c r="AH394" s="23">
        <f>SUM('2021 Detail'!J378:U378)+SUM('2021 Detail'!AA378)</f>
        <v>19414</v>
      </c>
      <c r="AJ394" s="23">
        <f t="shared" si="78"/>
        <v>0</v>
      </c>
      <c r="AL394" t="str">
        <f t="shared" si="87"/>
        <v>Same</v>
      </c>
      <c r="AQ394" s="23">
        <v>1617.83</v>
      </c>
    </row>
    <row r="395" spans="1:43" x14ac:dyDescent="0.2">
      <c r="A395" s="226" t="s">
        <v>288</v>
      </c>
      <c r="B395" s="9">
        <v>0</v>
      </c>
      <c r="C395" s="9" t="s">
        <v>495</v>
      </c>
      <c r="D395" s="9" t="s">
        <v>495</v>
      </c>
      <c r="E395" s="9"/>
      <c r="F395" s="9">
        <v>0</v>
      </c>
      <c r="G395" s="83">
        <v>9300</v>
      </c>
      <c r="H395" s="83">
        <f t="shared" si="84"/>
        <v>3000</v>
      </c>
      <c r="I395" s="133">
        <f t="shared" si="85"/>
        <v>0.3226</v>
      </c>
      <c r="J395" s="82">
        <v>2000</v>
      </c>
      <c r="K395" s="82"/>
      <c r="L395" s="82"/>
      <c r="M395" s="82"/>
      <c r="N395" s="82"/>
      <c r="O395" s="82"/>
      <c r="P395" s="82"/>
      <c r="Q395" s="82">
        <v>1000</v>
      </c>
      <c r="R395" s="82"/>
      <c r="S395" s="23"/>
      <c r="T395" s="23"/>
      <c r="U395" s="23"/>
      <c r="V395" s="7" t="s">
        <v>768</v>
      </c>
      <c r="W395" s="82">
        <f t="shared" si="86"/>
        <v>6300</v>
      </c>
      <c r="Y395" s="4"/>
      <c r="Z395" s="4"/>
      <c r="AA395" s="82"/>
      <c r="AB395" s="82"/>
      <c r="AC395" s="82"/>
      <c r="AD395" s="23"/>
      <c r="AE395" s="7" t="s">
        <v>471</v>
      </c>
      <c r="AH395" s="23">
        <f>SUM('2021 Detail'!J379:U379)+SUM('2021 Detail'!AA379)</f>
        <v>4000</v>
      </c>
      <c r="AJ395" s="23">
        <f t="shared" si="78"/>
        <v>-1000</v>
      </c>
      <c r="AL395" t="str">
        <f t="shared" si="87"/>
        <v>Down</v>
      </c>
    </row>
    <row r="396" spans="1:43" x14ac:dyDescent="0.2">
      <c r="A396" s="226" t="s">
        <v>289</v>
      </c>
      <c r="B396" s="9" t="s">
        <v>495</v>
      </c>
      <c r="C396" s="9" t="s">
        <v>495</v>
      </c>
      <c r="D396" s="9" t="s">
        <v>495</v>
      </c>
      <c r="E396" s="9"/>
      <c r="F396" s="9" t="s">
        <v>495</v>
      </c>
      <c r="G396" s="83">
        <v>12829</v>
      </c>
      <c r="H396" s="83">
        <f t="shared" si="84"/>
        <v>12829</v>
      </c>
      <c r="I396" s="133">
        <f t="shared" si="85"/>
        <v>1</v>
      </c>
      <c r="J396" s="82">
        <v>500</v>
      </c>
      <c r="K396" s="82">
        <v>500</v>
      </c>
      <c r="L396" s="82">
        <v>500</v>
      </c>
      <c r="M396" s="82">
        <v>500</v>
      </c>
      <c r="N396" s="82">
        <v>500</v>
      </c>
      <c r="O396" s="82">
        <v>500</v>
      </c>
      <c r="P396" s="82">
        <v>500</v>
      </c>
      <c r="Q396" s="82">
        <v>2500</v>
      </c>
      <c r="R396" s="82">
        <v>500</v>
      </c>
      <c r="S396" s="23">
        <v>4500</v>
      </c>
      <c r="T396" s="23">
        <v>1329</v>
      </c>
      <c r="U396" s="23">
        <v>500</v>
      </c>
      <c r="V396" s="7" t="s">
        <v>769</v>
      </c>
      <c r="W396" s="82">
        <f t="shared" si="86"/>
        <v>0</v>
      </c>
      <c r="Y396" s="4"/>
      <c r="Z396" s="4"/>
      <c r="AA396" s="82"/>
      <c r="AB396" s="82"/>
      <c r="AC396" s="82"/>
      <c r="AD396" s="23"/>
      <c r="AE396" s="7" t="s">
        <v>469</v>
      </c>
      <c r="AH396" s="23">
        <f>SUM('2021 Detail'!J380:U380)+SUM('2021 Detail'!AA380)</f>
        <v>10100</v>
      </c>
      <c r="AJ396" s="23">
        <f t="shared" si="78"/>
        <v>2729</v>
      </c>
      <c r="AL396" t="str">
        <f t="shared" si="87"/>
        <v>Up</v>
      </c>
      <c r="AQ396" s="23">
        <v>500</v>
      </c>
    </row>
    <row r="397" spans="1:43" x14ac:dyDescent="0.2">
      <c r="A397" s="226" t="s">
        <v>290</v>
      </c>
      <c r="B397" s="9">
        <v>0</v>
      </c>
      <c r="C397" s="9" t="s">
        <v>495</v>
      </c>
      <c r="D397" s="9" t="s">
        <v>495</v>
      </c>
      <c r="E397" s="9"/>
      <c r="F397" s="9">
        <v>0</v>
      </c>
      <c r="G397" s="83">
        <v>12189</v>
      </c>
      <c r="H397" s="83">
        <f t="shared" si="84"/>
        <v>12189</v>
      </c>
      <c r="I397" s="133">
        <f t="shared" si="85"/>
        <v>1</v>
      </c>
      <c r="J397" s="82"/>
      <c r="K397" s="82"/>
      <c r="L397" s="82"/>
      <c r="M397" s="82"/>
      <c r="N397" s="82"/>
      <c r="O397" s="82">
        <v>2000</v>
      </c>
      <c r="P397" s="82">
        <v>1000</v>
      </c>
      <c r="Q397" s="82"/>
      <c r="R397" s="82"/>
      <c r="S397" s="23">
        <v>1000</v>
      </c>
      <c r="T397" s="23"/>
      <c r="U397" s="23">
        <v>8189</v>
      </c>
      <c r="V397" s="7" t="s">
        <v>770</v>
      </c>
      <c r="W397" s="82">
        <f t="shared" si="86"/>
        <v>0</v>
      </c>
      <c r="Y397" s="4"/>
      <c r="Z397" s="4"/>
      <c r="AA397" s="82"/>
      <c r="AB397" s="82"/>
      <c r="AC397" s="82"/>
      <c r="AD397" s="23"/>
      <c r="AE397" s="7" t="s">
        <v>469</v>
      </c>
      <c r="AH397" s="23">
        <f>SUM('2021 Detail'!J381:U381)+SUM('2021 Detail'!AA381)</f>
        <v>12000</v>
      </c>
      <c r="AJ397" s="23">
        <f t="shared" si="78"/>
        <v>189</v>
      </c>
      <c r="AL397" t="str">
        <f t="shared" si="87"/>
        <v>Up</v>
      </c>
    </row>
    <row r="398" spans="1:43" x14ac:dyDescent="0.2">
      <c r="A398" s="226" t="s">
        <v>291</v>
      </c>
      <c r="B398" s="9" t="s">
        <v>495</v>
      </c>
      <c r="C398" s="9" t="s">
        <v>495</v>
      </c>
      <c r="D398" s="9" t="s">
        <v>495</v>
      </c>
      <c r="E398" s="9"/>
      <c r="F398" s="9">
        <v>0</v>
      </c>
      <c r="G398" s="83">
        <v>47934</v>
      </c>
      <c r="H398" s="83">
        <f t="shared" si="84"/>
        <v>47934</v>
      </c>
      <c r="I398" s="133">
        <f t="shared" si="85"/>
        <v>1</v>
      </c>
      <c r="J398" s="82"/>
      <c r="K398" s="82"/>
      <c r="L398" s="82">
        <v>5000</v>
      </c>
      <c r="M398" s="82"/>
      <c r="N398" s="82"/>
      <c r="O398" s="82">
        <v>15000</v>
      </c>
      <c r="P398" s="82">
        <v>10000</v>
      </c>
      <c r="Q398" s="82"/>
      <c r="R398" s="82"/>
      <c r="S398" s="23">
        <v>6000</v>
      </c>
      <c r="T398" s="23"/>
      <c r="U398" s="23">
        <v>11934</v>
      </c>
      <c r="V398" s="7" t="s">
        <v>771</v>
      </c>
      <c r="W398" s="82">
        <f t="shared" si="86"/>
        <v>0</v>
      </c>
      <c r="Y398" s="4"/>
      <c r="Z398" s="4"/>
      <c r="AA398" s="82"/>
      <c r="AB398" s="82"/>
      <c r="AC398" s="82"/>
      <c r="AD398" s="23"/>
      <c r="AE398" s="7" t="s">
        <v>469</v>
      </c>
      <c r="AH398" s="23">
        <f>SUM('2021 Detail'!J382:U382)+SUM('2021 Detail'!AA382)</f>
        <v>44575</v>
      </c>
      <c r="AJ398" s="23">
        <f t="shared" si="78"/>
        <v>3359</v>
      </c>
      <c r="AL398" t="str">
        <f t="shared" si="87"/>
        <v>Up</v>
      </c>
    </row>
    <row r="399" spans="1:43" x14ac:dyDescent="0.2">
      <c r="A399" s="226" t="s">
        <v>292</v>
      </c>
      <c r="B399" s="9" t="s">
        <v>495</v>
      </c>
      <c r="C399" s="9" t="s">
        <v>495</v>
      </c>
      <c r="D399" s="9">
        <v>0</v>
      </c>
      <c r="E399" s="9"/>
      <c r="F399" s="9">
        <v>0</v>
      </c>
      <c r="G399" s="83">
        <v>4273</v>
      </c>
      <c r="H399" s="83">
        <f t="shared" si="84"/>
        <v>4273</v>
      </c>
      <c r="I399" s="133">
        <f t="shared" si="85"/>
        <v>1</v>
      </c>
      <c r="J399" s="82"/>
      <c r="K399" s="82"/>
      <c r="L399" s="82"/>
      <c r="M399" s="82">
        <v>1026.25</v>
      </c>
      <c r="N399" s="82"/>
      <c r="O399" s="82">
        <v>463.83</v>
      </c>
      <c r="P399" s="82">
        <v>463.82</v>
      </c>
      <c r="Q399" s="82">
        <v>463.82</v>
      </c>
      <c r="R399" s="82">
        <v>463.82</v>
      </c>
      <c r="S399" s="23">
        <v>463.82</v>
      </c>
      <c r="T399" s="23">
        <v>463.82</v>
      </c>
      <c r="U399" s="23">
        <v>463.82</v>
      </c>
      <c r="V399" s="7" t="s">
        <v>772</v>
      </c>
      <c r="W399" s="82">
        <f t="shared" si="86"/>
        <v>0</v>
      </c>
      <c r="Y399" s="4"/>
      <c r="Z399" s="4"/>
      <c r="AA399" s="82"/>
      <c r="AB399" s="82"/>
      <c r="AC399" s="82"/>
      <c r="AD399" s="23"/>
      <c r="AE399" s="7" t="s">
        <v>470</v>
      </c>
      <c r="AH399" s="23">
        <f>SUM('2021 Detail'!J383:U383)+SUM('2021 Detail'!AA383)</f>
        <v>4231</v>
      </c>
      <c r="AJ399" s="23">
        <f t="shared" si="78"/>
        <v>42</v>
      </c>
      <c r="AL399" t="str">
        <f t="shared" si="87"/>
        <v>Up</v>
      </c>
      <c r="AQ399" s="23">
        <v>1026.25</v>
      </c>
    </row>
    <row r="400" spans="1:43" x14ac:dyDescent="0.2">
      <c r="A400" s="226" t="s">
        <v>293</v>
      </c>
      <c r="B400" s="9" t="s">
        <v>495</v>
      </c>
      <c r="C400" s="9">
        <v>0</v>
      </c>
      <c r="D400" s="9">
        <v>0</v>
      </c>
      <c r="E400" s="9"/>
      <c r="F400" s="9">
        <v>0</v>
      </c>
      <c r="G400" s="83">
        <v>2682</v>
      </c>
      <c r="H400" s="83">
        <f t="shared" si="84"/>
        <v>1000</v>
      </c>
      <c r="I400" s="133">
        <f t="shared" si="85"/>
        <v>0.37290000000000001</v>
      </c>
      <c r="J400" s="82"/>
      <c r="K400" s="82"/>
      <c r="L400" s="82"/>
      <c r="M400" s="82"/>
      <c r="N400" s="82"/>
      <c r="O400" s="82"/>
      <c r="P400" s="82"/>
      <c r="Q400" s="82"/>
      <c r="R400" s="82"/>
      <c r="S400" s="23"/>
      <c r="T400" s="23"/>
      <c r="U400" s="23">
        <v>1000</v>
      </c>
      <c r="V400" s="7" t="s">
        <v>773</v>
      </c>
      <c r="W400" s="82">
        <f t="shared" si="86"/>
        <v>1682</v>
      </c>
      <c r="Y400" s="4"/>
      <c r="Z400" s="4"/>
      <c r="AA400" s="82"/>
      <c r="AB400" s="82"/>
      <c r="AC400" s="82"/>
      <c r="AD400" s="23"/>
      <c r="AE400" s="7" t="s">
        <v>470</v>
      </c>
      <c r="AH400" s="23">
        <f>SUM('2021 Detail'!J384:U384)+SUM('2021 Detail'!AA384)</f>
        <v>1300</v>
      </c>
      <c r="AJ400" s="23">
        <f t="shared" si="78"/>
        <v>-300</v>
      </c>
      <c r="AL400" t="str">
        <f t="shared" si="87"/>
        <v>Down</v>
      </c>
      <c r="AQ400" s="23">
        <v>1300</v>
      </c>
    </row>
    <row r="401" spans="1:46" x14ac:dyDescent="0.2">
      <c r="A401" s="226" t="s">
        <v>294</v>
      </c>
      <c r="B401" s="9" t="s">
        <v>495</v>
      </c>
      <c r="C401" s="9" t="s">
        <v>495</v>
      </c>
      <c r="D401" s="9">
        <v>0</v>
      </c>
      <c r="E401" s="9"/>
      <c r="F401" s="9" t="s">
        <v>495</v>
      </c>
      <c r="G401" s="83">
        <v>45011</v>
      </c>
      <c r="H401" s="83">
        <f t="shared" si="84"/>
        <v>45011</v>
      </c>
      <c r="I401" s="133">
        <f t="shared" si="85"/>
        <v>1</v>
      </c>
      <c r="J401" s="82">
        <v>3750.99</v>
      </c>
      <c r="K401" s="82">
        <v>3750.91</v>
      </c>
      <c r="L401" s="82">
        <v>3750.91</v>
      </c>
      <c r="M401" s="82">
        <v>3750.91</v>
      </c>
      <c r="N401" s="82">
        <v>3750.91</v>
      </c>
      <c r="O401" s="82">
        <v>3750.91</v>
      </c>
      <c r="P401" s="82">
        <v>3750.91</v>
      </c>
      <c r="Q401" s="82">
        <v>3750.91</v>
      </c>
      <c r="R401" s="82">
        <v>3750.91</v>
      </c>
      <c r="S401" s="23">
        <v>3750.91</v>
      </c>
      <c r="T401" s="23">
        <v>3750.91</v>
      </c>
      <c r="U401" s="23">
        <v>3750.91</v>
      </c>
      <c r="V401" s="7" t="s">
        <v>774</v>
      </c>
      <c r="W401" s="82">
        <f t="shared" si="86"/>
        <v>0</v>
      </c>
      <c r="Y401" s="4"/>
      <c r="Z401" s="4"/>
      <c r="AA401" s="82"/>
      <c r="AB401" s="82"/>
      <c r="AC401" s="82"/>
      <c r="AD401" s="23"/>
      <c r="AE401" s="7" t="s">
        <v>470</v>
      </c>
      <c r="AH401" s="23">
        <f>SUM('2021 Detail'!J385:U385)+SUM('2021 Detail'!AA385)</f>
        <v>45010.000000000007</v>
      </c>
      <c r="AJ401" s="23">
        <f t="shared" si="78"/>
        <v>0.99999999999272404</v>
      </c>
      <c r="AL401" t="str">
        <f t="shared" si="87"/>
        <v>Up</v>
      </c>
      <c r="AQ401" s="23">
        <v>3749.23</v>
      </c>
    </row>
    <row r="402" spans="1:46" x14ac:dyDescent="0.2">
      <c r="A402" s="226" t="s">
        <v>295</v>
      </c>
      <c r="B402" s="9">
        <v>0</v>
      </c>
      <c r="C402" s="9" t="s">
        <v>495</v>
      </c>
      <c r="D402" s="9" t="s">
        <v>495</v>
      </c>
      <c r="E402" s="9"/>
      <c r="F402" s="9">
        <v>0</v>
      </c>
      <c r="G402" s="83">
        <v>17700</v>
      </c>
      <c r="H402" s="83">
        <f t="shared" si="84"/>
        <v>8850</v>
      </c>
      <c r="I402" s="133">
        <f t="shared" si="85"/>
        <v>0.5</v>
      </c>
      <c r="J402" s="82"/>
      <c r="K402" s="82"/>
      <c r="L402" s="82"/>
      <c r="M402" s="82"/>
      <c r="N402" s="82">
        <v>5000</v>
      </c>
      <c r="O402" s="82"/>
      <c r="P402" s="82"/>
      <c r="Q402" s="82">
        <v>1700</v>
      </c>
      <c r="R402" s="82"/>
      <c r="S402" s="23">
        <v>2150</v>
      </c>
      <c r="T402" s="23"/>
      <c r="U402" s="23"/>
      <c r="V402" s="7" t="s">
        <v>775</v>
      </c>
      <c r="W402" s="82">
        <f t="shared" si="86"/>
        <v>8850</v>
      </c>
      <c r="Y402" s="4"/>
      <c r="Z402" s="4"/>
      <c r="AA402" s="82"/>
      <c r="AB402" s="82"/>
      <c r="AC402" s="82"/>
      <c r="AD402" s="23"/>
      <c r="AE402" s="7" t="s">
        <v>471</v>
      </c>
      <c r="AH402" s="23">
        <f>SUM('2021 Detail'!J386:U386)+SUM('2021 Detail'!AA386)</f>
        <v>10620</v>
      </c>
      <c r="AJ402" s="23">
        <f t="shared" si="78"/>
        <v>-1770</v>
      </c>
      <c r="AL402" t="str">
        <f t="shared" si="87"/>
        <v>Down</v>
      </c>
    </row>
    <row r="403" spans="1:46" s="6" customFormat="1" x14ac:dyDescent="0.2">
      <c r="A403" s="226" t="s">
        <v>296</v>
      </c>
      <c r="B403" s="9" t="s">
        <v>495</v>
      </c>
      <c r="C403" s="9" t="s">
        <v>495</v>
      </c>
      <c r="D403" s="9">
        <v>0</v>
      </c>
      <c r="E403" s="9"/>
      <c r="F403" s="9">
        <v>0</v>
      </c>
      <c r="G403" s="83">
        <v>14495</v>
      </c>
      <c r="H403" s="83">
        <f t="shared" si="84"/>
        <v>14496</v>
      </c>
      <c r="I403" s="133">
        <f t="shared" si="85"/>
        <v>1.0001</v>
      </c>
      <c r="J403" s="82"/>
      <c r="K403" s="82"/>
      <c r="L403" s="82">
        <v>3624</v>
      </c>
      <c r="M403" s="82"/>
      <c r="N403" s="82"/>
      <c r="O403" s="82"/>
      <c r="P403" s="82">
        <v>3624</v>
      </c>
      <c r="Q403" s="82"/>
      <c r="R403" s="82">
        <v>3624</v>
      </c>
      <c r="S403" s="23"/>
      <c r="T403" s="23"/>
      <c r="U403" s="23">
        <v>3624</v>
      </c>
      <c r="V403" s="7" t="s">
        <v>776</v>
      </c>
      <c r="W403" s="82">
        <f t="shared" si="86"/>
        <v>-1</v>
      </c>
      <c r="X403" s="7"/>
      <c r="Y403" s="4"/>
      <c r="Z403" s="4"/>
      <c r="AA403" s="82"/>
      <c r="AB403" s="82"/>
      <c r="AC403" s="82"/>
      <c r="AD403" s="23"/>
      <c r="AE403" s="10" t="s">
        <v>470</v>
      </c>
      <c r="AH403" s="23">
        <f>SUM('2021 Detail'!J387:U387)+SUM('2021 Detail'!AA387)</f>
        <v>14496</v>
      </c>
      <c r="AJ403" s="23">
        <f t="shared" si="78"/>
        <v>0</v>
      </c>
      <c r="AL403" t="str">
        <f t="shared" si="87"/>
        <v>Same</v>
      </c>
      <c r="AQ403" s="23">
        <v>3624</v>
      </c>
    </row>
    <row r="404" spans="1:46" s="6" customFormat="1" x14ac:dyDescent="0.2">
      <c r="A404" s="226" t="s">
        <v>297</v>
      </c>
      <c r="B404" s="9" t="s">
        <v>495</v>
      </c>
      <c r="C404" s="9">
        <v>0</v>
      </c>
      <c r="D404" s="9">
        <v>0</v>
      </c>
      <c r="E404" s="9"/>
      <c r="F404" s="9">
        <v>0</v>
      </c>
      <c r="G404" s="83">
        <v>5540</v>
      </c>
      <c r="H404" s="83">
        <f t="shared" si="84"/>
        <v>5134</v>
      </c>
      <c r="I404" s="133">
        <f t="shared" si="85"/>
        <v>0.92669999999999997</v>
      </c>
      <c r="J404" s="82"/>
      <c r="K404" s="82"/>
      <c r="L404" s="82"/>
      <c r="M404" s="82"/>
      <c r="N404" s="82"/>
      <c r="O404" s="82"/>
      <c r="P404" s="82"/>
      <c r="Q404" s="82"/>
      <c r="R404" s="82"/>
      <c r="S404" s="23">
        <v>2000</v>
      </c>
      <c r="T404" s="23"/>
      <c r="U404" s="23">
        <v>2000</v>
      </c>
      <c r="V404" s="7" t="s">
        <v>777</v>
      </c>
      <c r="W404" s="82">
        <f t="shared" si="86"/>
        <v>406</v>
      </c>
      <c r="X404" s="7"/>
      <c r="Y404" s="4"/>
      <c r="Z404" s="4"/>
      <c r="AA404" s="82">
        <v>1134</v>
      </c>
      <c r="AB404" s="82"/>
      <c r="AC404" s="82"/>
      <c r="AD404" s="23"/>
      <c r="AE404" s="10" t="s">
        <v>470</v>
      </c>
      <c r="AH404" s="23">
        <f>SUM('2021 Detail'!J388:U388)+SUM('2021 Detail'!AA388)</f>
        <v>4000</v>
      </c>
      <c r="AJ404" s="23">
        <f t="shared" si="78"/>
        <v>1134</v>
      </c>
      <c r="AL404" t="str">
        <f t="shared" si="87"/>
        <v>Up</v>
      </c>
      <c r="AQ404" s="23">
        <v>2000</v>
      </c>
    </row>
    <row r="405" spans="1:46" x14ac:dyDescent="0.2">
      <c r="G405" s="83"/>
      <c r="I405" s="133"/>
      <c r="Y405" s="4"/>
      <c r="Z405" s="4"/>
      <c r="AJ405" s="23"/>
    </row>
    <row r="406" spans="1:46" x14ac:dyDescent="0.2">
      <c r="A406" s="226" t="s">
        <v>1142</v>
      </c>
      <c r="G406" s="83">
        <f>SUM(G371:G405)</f>
        <v>538615</v>
      </c>
      <c r="H406" s="83">
        <f>SUM(H371:H405)</f>
        <v>450063.54000000004</v>
      </c>
      <c r="I406" s="133">
        <f t="shared" ref="I406:I407" si="88">ROUND((H406/G406),4)</f>
        <v>0.83560000000000001</v>
      </c>
      <c r="J406" s="83">
        <f t="shared" ref="J406:U406" si="89">SUM(J371:J405)</f>
        <v>27712.35</v>
      </c>
      <c r="K406" s="83">
        <f t="shared" si="89"/>
        <v>21678.149999999998</v>
      </c>
      <c r="L406" s="83">
        <f t="shared" si="89"/>
        <v>27218.399999999998</v>
      </c>
      <c r="M406" s="83">
        <f t="shared" si="89"/>
        <v>27389.649999999998</v>
      </c>
      <c r="N406" s="83">
        <f t="shared" si="89"/>
        <v>25794.399999999998</v>
      </c>
      <c r="O406" s="83">
        <f t="shared" si="89"/>
        <v>41488.720000000001</v>
      </c>
      <c r="P406" s="83">
        <f t="shared" si="89"/>
        <v>45012.679999999993</v>
      </c>
      <c r="Q406" s="83">
        <f t="shared" si="89"/>
        <v>27088.679999999997</v>
      </c>
      <c r="R406" s="83">
        <f t="shared" si="89"/>
        <v>34812.680000000008</v>
      </c>
      <c r="S406" s="4">
        <f t="shared" si="89"/>
        <v>44119.679999999993</v>
      </c>
      <c r="T406" s="4">
        <f t="shared" si="89"/>
        <v>56177.08</v>
      </c>
      <c r="U406" s="4">
        <f t="shared" si="89"/>
        <v>66821.069999999992</v>
      </c>
      <c r="V406" s="77"/>
      <c r="W406" s="82">
        <f>SUM(W371:W405)</f>
        <v>88551.459999999992</v>
      </c>
      <c r="Y406" s="4"/>
      <c r="Z406" s="4"/>
      <c r="AA406" s="83">
        <f>SUM(AA371:AA405)</f>
        <v>4750</v>
      </c>
      <c r="AB406" s="83">
        <f>SUM(AB371:AB405)</f>
        <v>0</v>
      </c>
      <c r="AC406" s="83">
        <f>SUM(AC371:AC405)</f>
        <v>0</v>
      </c>
      <c r="AD406" s="4"/>
      <c r="AH406" s="23">
        <f>SUM(AH371:AH405)</f>
        <v>457590</v>
      </c>
      <c r="AJ406" s="23">
        <f t="shared" si="78"/>
        <v>-7526.4599999999627</v>
      </c>
      <c r="AM406" s="11">
        <f>SUM(J406:R406)+SUM(S407:U407)+SUM('2020 detail'!AA390:AC390)</f>
        <v>440381.87</v>
      </c>
      <c r="AN406" s="24">
        <f>ROUND((AM406/G406),4)</f>
        <v>0.81759999999999999</v>
      </c>
      <c r="AO406" s="24">
        <f>ROUND((SUM(J407:U407)/G407),4)</f>
        <v>0.79469999999999996</v>
      </c>
      <c r="AQ406" s="23">
        <f>SUM(AQ371:AQ405)</f>
        <v>75077.72</v>
      </c>
      <c r="AS406">
        <v>-2500</v>
      </c>
      <c r="AT406" s="3">
        <f>W406+AS406</f>
        <v>86051.459999999992</v>
      </c>
    </row>
    <row r="407" spans="1:46" x14ac:dyDescent="0.2">
      <c r="A407" s="253" t="s">
        <v>1056</v>
      </c>
      <c r="G407" s="206">
        <f>'2021 Detail'!G391</f>
        <v>538613</v>
      </c>
      <c r="H407" s="206">
        <f>SUM(J407:U407)+SUM(AA407:AC407)</f>
        <v>458693.99999999988</v>
      </c>
      <c r="I407" s="207">
        <f t="shared" si="88"/>
        <v>0.85160000000000002</v>
      </c>
      <c r="J407" s="206">
        <f>'2021 Detail'!J391</f>
        <v>24974.65</v>
      </c>
      <c r="K407" s="206">
        <f>'2021 Detail'!K391</f>
        <v>22804.57</v>
      </c>
      <c r="L407" s="206">
        <f>'2021 Detail'!L391</f>
        <v>34456.300000000003</v>
      </c>
      <c r="M407" s="206">
        <f>'2021 Detail'!M391</f>
        <v>23794.969999999998</v>
      </c>
      <c r="N407" s="206">
        <f>'2021 Detail'!N391</f>
        <v>22794.969999999998</v>
      </c>
      <c r="O407" s="206">
        <f>'2021 Detail'!O391</f>
        <v>30918.969999999998</v>
      </c>
      <c r="P407" s="206">
        <f>'2021 Detail'!P391</f>
        <v>35902.47</v>
      </c>
      <c r="Q407" s="206">
        <f>'2021 Detail'!Q391</f>
        <v>28762.969999999998</v>
      </c>
      <c r="R407" s="206">
        <f>'2021 Detail'!R391</f>
        <v>41418.97</v>
      </c>
      <c r="S407" s="206">
        <f>'2021 Detail'!S391</f>
        <v>38911.72</v>
      </c>
      <c r="T407" s="206">
        <f>'2021 Detail'!T391</f>
        <v>48196.72</v>
      </c>
      <c r="U407" s="206">
        <f>'2021 Detail'!U391</f>
        <v>75077.72</v>
      </c>
      <c r="V407" s="206"/>
      <c r="W407" s="206"/>
      <c r="X407" s="206"/>
      <c r="Y407" s="4"/>
      <c r="Z407" s="4"/>
      <c r="AA407" s="206">
        <f>'2021 Detail'!AA391</f>
        <v>29575</v>
      </c>
      <c r="AB407" s="206">
        <f>'2021 Detail'!AB391</f>
        <v>1104</v>
      </c>
      <c r="AC407" s="206">
        <f>'2021 Detail'!AC391</f>
        <v>0</v>
      </c>
      <c r="AJ407" s="23"/>
    </row>
    <row r="408" spans="1:46" x14ac:dyDescent="0.2">
      <c r="Y408" s="4"/>
      <c r="Z408" s="4"/>
      <c r="AJ408" s="23"/>
    </row>
    <row r="409" spans="1:46" x14ac:dyDescent="0.2">
      <c r="A409" s="226" t="str">
        <f t="shared" ref="A409:U409" si="90">A$510</f>
        <v>Diocesan Total 2022</v>
      </c>
      <c r="B409" s="226">
        <f t="shared" si="90"/>
        <v>0</v>
      </c>
      <c r="C409" s="226">
        <f t="shared" si="90"/>
        <v>0</v>
      </c>
      <c r="D409" s="258">
        <f t="shared" si="90"/>
        <v>0</v>
      </c>
      <c r="E409" s="226">
        <f t="shared" si="90"/>
        <v>0</v>
      </c>
      <c r="F409" s="226">
        <f t="shared" si="90"/>
        <v>0</v>
      </c>
      <c r="G409" s="83">
        <f t="shared" si="90"/>
        <v>8116012</v>
      </c>
      <c r="H409" s="83">
        <f t="shared" si="90"/>
        <v>6559332.3399999999</v>
      </c>
      <c r="I409" s="133">
        <f t="shared" si="90"/>
        <v>0.80820000000000003</v>
      </c>
      <c r="J409" s="83">
        <f t="shared" si="90"/>
        <v>378351.23</v>
      </c>
      <c r="K409" s="83">
        <f t="shared" si="90"/>
        <v>449442.02</v>
      </c>
      <c r="L409" s="83">
        <f t="shared" si="90"/>
        <v>517036.34</v>
      </c>
      <c r="M409" s="83">
        <f t="shared" si="90"/>
        <v>434875.54000000004</v>
      </c>
      <c r="N409" s="83">
        <f t="shared" si="90"/>
        <v>497786.23</v>
      </c>
      <c r="O409" s="83">
        <f t="shared" si="90"/>
        <v>599586.94000000006</v>
      </c>
      <c r="P409" s="83">
        <f t="shared" si="90"/>
        <v>498701.35</v>
      </c>
      <c r="Q409" s="83">
        <f t="shared" si="90"/>
        <v>538018.41999999993</v>
      </c>
      <c r="R409" s="83">
        <f t="shared" si="90"/>
        <v>551902.79</v>
      </c>
      <c r="S409" s="4">
        <f t="shared" si="90"/>
        <v>564217.18000000005</v>
      </c>
      <c r="T409" s="4">
        <f t="shared" si="90"/>
        <v>646111.05000000005</v>
      </c>
      <c r="U409" s="4">
        <f t="shared" si="90"/>
        <v>737258.44</v>
      </c>
      <c r="V409" s="77"/>
      <c r="W409" s="82"/>
      <c r="X409" s="4"/>
      <c r="Y409" s="4"/>
      <c r="Z409" s="4"/>
      <c r="AA409" s="83"/>
      <c r="AB409" s="83"/>
      <c r="AC409" s="83"/>
      <c r="AD409" s="4"/>
      <c r="AH409" s="23">
        <f>AH$510</f>
        <v>6554125.29</v>
      </c>
      <c r="AJ409" s="23">
        <f>AJ$510</f>
        <v>5207.0499999998137</v>
      </c>
    </row>
    <row r="410" spans="1:46" x14ac:dyDescent="0.2">
      <c r="A410" s="253" t="str">
        <f t="shared" ref="A410:U410" si="91">A$511</f>
        <v>Diocesan Total 2021</v>
      </c>
      <c r="B410" s="253">
        <f t="shared" si="91"/>
        <v>0</v>
      </c>
      <c r="C410" s="253">
        <f t="shared" si="91"/>
        <v>0</v>
      </c>
      <c r="D410" s="259">
        <f t="shared" si="91"/>
        <v>0</v>
      </c>
      <c r="E410" s="253">
        <f t="shared" si="91"/>
        <v>0</v>
      </c>
      <c r="F410" s="253">
        <f t="shared" si="91"/>
        <v>0</v>
      </c>
      <c r="G410" s="206">
        <f t="shared" si="91"/>
        <v>8132853</v>
      </c>
      <c r="H410" s="206">
        <f t="shared" si="91"/>
        <v>6587993.7700000005</v>
      </c>
      <c r="I410" s="207">
        <f t="shared" si="91"/>
        <v>0.81</v>
      </c>
      <c r="J410" s="206">
        <f t="shared" si="91"/>
        <v>340336.86</v>
      </c>
      <c r="K410" s="206">
        <f t="shared" si="91"/>
        <v>407387.73</v>
      </c>
      <c r="L410" s="206">
        <f t="shared" si="91"/>
        <v>497955.59</v>
      </c>
      <c r="M410" s="206">
        <f t="shared" si="91"/>
        <v>513800.89999999997</v>
      </c>
      <c r="N410" s="206">
        <f t="shared" si="91"/>
        <v>483760.16000000003</v>
      </c>
      <c r="O410" s="206">
        <f t="shared" si="91"/>
        <v>527451.71000000008</v>
      </c>
      <c r="P410" s="206">
        <f t="shared" si="91"/>
        <v>582882.6100000001</v>
      </c>
      <c r="Q410" s="206">
        <f t="shared" si="91"/>
        <v>489302.35</v>
      </c>
      <c r="R410" s="206">
        <f t="shared" si="91"/>
        <v>548459.72</v>
      </c>
      <c r="S410" s="206">
        <f t="shared" si="91"/>
        <v>527708.16999999993</v>
      </c>
      <c r="T410" s="206">
        <f t="shared" si="91"/>
        <v>616975.80999999994</v>
      </c>
      <c r="U410" s="206">
        <f t="shared" si="91"/>
        <v>907302.59</v>
      </c>
      <c r="V410" s="206"/>
      <c r="W410" s="206"/>
      <c r="X410" s="206"/>
      <c r="Y410" s="4"/>
      <c r="Z410" s="4"/>
      <c r="AA410" s="206"/>
      <c r="AB410" s="206"/>
      <c r="AC410" s="206"/>
      <c r="AJ410" s="23"/>
    </row>
    <row r="411" spans="1:46" ht="15.75" x14ac:dyDescent="0.25">
      <c r="G411" s="196" t="s">
        <v>16</v>
      </c>
      <c r="Y411" s="4"/>
      <c r="Z411" s="4"/>
      <c r="AH411" s="171" t="s">
        <v>1136</v>
      </c>
      <c r="AI411" s="172"/>
      <c r="AJ411" s="171" t="s">
        <v>1064</v>
      </c>
    </row>
    <row r="412" spans="1:46" x14ac:dyDescent="0.2">
      <c r="Y412" s="4"/>
      <c r="Z412" s="4"/>
      <c r="AH412" s="171" t="s">
        <v>1137</v>
      </c>
      <c r="AI412" s="172"/>
      <c r="AJ412" s="171" t="s">
        <v>1138</v>
      </c>
    </row>
    <row r="413" spans="1:46" ht="16.5" x14ac:dyDescent="0.25">
      <c r="A413" s="250"/>
      <c r="B413" s="8"/>
      <c r="C413" s="8"/>
      <c r="E413" s="8"/>
      <c r="F413" s="8"/>
      <c r="G413" s="208" t="str">
        <f>$G$3</f>
        <v>2022 PARISH SHARE INFORMATION AS AT 31 DECEMBER 2022</v>
      </c>
      <c r="H413" s="209"/>
      <c r="W413" s="194"/>
      <c r="X413"/>
      <c r="Y413" s="4"/>
      <c r="Z413" s="4"/>
      <c r="AA413"/>
      <c r="AB413"/>
      <c r="AC413"/>
      <c r="AH413" s="172"/>
      <c r="AI413" s="172"/>
      <c r="AJ413" s="171" t="s">
        <v>1139</v>
      </c>
    </row>
    <row r="414" spans="1:46" x14ac:dyDescent="0.2">
      <c r="A414" s="250"/>
      <c r="G414" s="205"/>
      <c r="H414" s="197"/>
      <c r="W414" s="194"/>
      <c r="X414"/>
      <c r="Y414" s="4"/>
      <c r="Z414" s="4"/>
      <c r="AA414"/>
      <c r="AB414"/>
      <c r="AC414"/>
    </row>
    <row r="415" spans="1:46" ht="16.5" x14ac:dyDescent="0.25">
      <c r="A415" s="251" t="s">
        <v>1</v>
      </c>
      <c r="B415" s="151" t="str">
        <f>$B$5</f>
        <v>RM</v>
      </c>
      <c r="C415" s="151" t="str">
        <f>$C$5</f>
        <v>RF</v>
      </c>
      <c r="D415" s="151" t="str">
        <f>$D$5</f>
        <v>Accts</v>
      </c>
      <c r="E415" s="151"/>
      <c r="F415" s="151" t="str">
        <f>$F$5</f>
        <v>Share DD</v>
      </c>
      <c r="G415" s="210" t="str">
        <f>$G$5</f>
        <v xml:space="preserve">2022 Share </v>
      </c>
      <c r="H415" s="211" t="str">
        <f>$H$5</f>
        <v xml:space="preserve">2022 Paid </v>
      </c>
      <c r="I415" s="211" t="str">
        <f>$I$5</f>
        <v xml:space="preserve">% Paid </v>
      </c>
      <c r="J415" s="212">
        <f>$J$5</f>
        <v>44592</v>
      </c>
      <c r="K415" s="212">
        <f>$K$5</f>
        <v>44620</v>
      </c>
      <c r="L415" s="212">
        <f>$L$5</f>
        <v>44651</v>
      </c>
      <c r="M415" s="212">
        <f>$M$5</f>
        <v>44681</v>
      </c>
      <c r="N415" s="212">
        <f>$N$5</f>
        <v>44712</v>
      </c>
      <c r="O415" s="212">
        <f>$O$5</f>
        <v>44742</v>
      </c>
      <c r="P415" s="212">
        <f>$P$5</f>
        <v>44773</v>
      </c>
      <c r="Q415" s="212">
        <f>$Q$5</f>
        <v>44804</v>
      </c>
      <c r="R415" s="212">
        <f>$R$5</f>
        <v>44834</v>
      </c>
      <c r="S415" s="155">
        <f>$S$5</f>
        <v>44865</v>
      </c>
      <c r="T415" s="155">
        <f>$T$5</f>
        <v>44895</v>
      </c>
      <c r="U415" s="155">
        <f>$U$5</f>
        <v>44926</v>
      </c>
      <c r="V415" s="78"/>
      <c r="W415" s="195" t="str">
        <f>$W$5</f>
        <v xml:space="preserve">Outstanding </v>
      </c>
      <c r="X415" s="2"/>
      <c r="Y415" s="4"/>
      <c r="Z415" s="4"/>
      <c r="AA415" s="2">
        <f>$AA$5</f>
        <v>44957</v>
      </c>
      <c r="AB415" s="2">
        <f>$AB$5</f>
        <v>44985</v>
      </c>
      <c r="AC415" s="2">
        <f>$AC$5</f>
        <v>45016</v>
      </c>
      <c r="AE415" s="152" t="str">
        <f>$AE$5</f>
        <v>Benefice</v>
      </c>
      <c r="AH415" s="16" t="s">
        <v>1141</v>
      </c>
      <c r="AJ415" s="170" t="s">
        <v>1140</v>
      </c>
      <c r="AQ415" s="222">
        <f>AQ5</f>
        <v>44588</v>
      </c>
    </row>
    <row r="416" spans="1:46" ht="16.5" x14ac:dyDescent="0.25">
      <c r="A416" s="250"/>
      <c r="G416" s="201" t="s">
        <v>1040</v>
      </c>
      <c r="H416" s="202" t="s">
        <v>1040</v>
      </c>
      <c r="I416" s="203"/>
      <c r="J416" s="202" t="s">
        <v>1040</v>
      </c>
      <c r="K416" s="202" t="s">
        <v>1040</v>
      </c>
      <c r="L416" s="202" t="s">
        <v>1040</v>
      </c>
      <c r="M416" s="202" t="s">
        <v>1040</v>
      </c>
      <c r="N416" s="202" t="s">
        <v>1040</v>
      </c>
      <c r="O416" s="202" t="s">
        <v>1040</v>
      </c>
      <c r="P416" s="202" t="s">
        <v>1040</v>
      </c>
      <c r="Q416" s="202" t="s">
        <v>1040</v>
      </c>
      <c r="R416" s="202" t="s">
        <v>1040</v>
      </c>
      <c r="S416" s="147" t="s">
        <v>1040</v>
      </c>
      <c r="T416" s="147" t="s">
        <v>1040</v>
      </c>
      <c r="U416" s="147" t="s">
        <v>1040</v>
      </c>
      <c r="W416" s="194"/>
      <c r="X416"/>
      <c r="Y416" s="4"/>
      <c r="Z416" s="4"/>
      <c r="AA416"/>
      <c r="AB416"/>
      <c r="AC416"/>
      <c r="AJ416" s="23"/>
    </row>
    <row r="417" spans="1:43" x14ac:dyDescent="0.2">
      <c r="Y417" s="4"/>
      <c r="Z417" s="4"/>
      <c r="AJ417" s="23"/>
    </row>
    <row r="418" spans="1:43" x14ac:dyDescent="0.2">
      <c r="A418" s="226" t="s">
        <v>373</v>
      </c>
      <c r="B418" s="9" t="s">
        <v>495</v>
      </c>
      <c r="C418" s="9" t="s">
        <v>495</v>
      </c>
      <c r="D418" s="9" t="s">
        <v>495</v>
      </c>
      <c r="E418" s="9"/>
      <c r="F418" s="9">
        <v>0</v>
      </c>
      <c r="G418" s="83">
        <v>31856</v>
      </c>
      <c r="H418" s="83">
        <f t="shared" ref="H418:H464" si="92">SUM(J418:U418)+SUM(AA418:AC418)</f>
        <v>21857</v>
      </c>
      <c r="I418" s="133">
        <f t="shared" ref="I418:I464" si="93">ROUND((H418/G418),4)</f>
        <v>0.68610000000000004</v>
      </c>
      <c r="J418" s="82">
        <v>0</v>
      </c>
      <c r="K418" s="82"/>
      <c r="L418" s="82"/>
      <c r="M418" s="82"/>
      <c r="N418" s="82">
        <v>11857</v>
      </c>
      <c r="O418" s="82"/>
      <c r="P418" s="82"/>
      <c r="Q418" s="82"/>
      <c r="R418" s="82"/>
      <c r="S418" s="23"/>
      <c r="T418" s="23">
        <v>10000</v>
      </c>
      <c r="U418" s="23"/>
      <c r="V418" s="7" t="s">
        <v>779</v>
      </c>
      <c r="W418" s="82">
        <f t="shared" ref="W418:W464" si="94">ROUND((G418-H418),2)</f>
        <v>9999</v>
      </c>
      <c r="Y418" s="4"/>
      <c r="Z418" s="4"/>
      <c r="AA418" s="82"/>
      <c r="AB418" s="82"/>
      <c r="AC418" s="82"/>
      <c r="AE418" s="7" t="s">
        <v>473</v>
      </c>
      <c r="AH418" s="23">
        <f>SUM('2021 Detail'!J401:U401)+SUM('2021 Detail'!AA401)</f>
        <v>32226.98</v>
      </c>
      <c r="AJ418" s="23">
        <f t="shared" ref="AJ418:AJ467" si="95">H418-AH418</f>
        <v>-10369.98</v>
      </c>
      <c r="AL418" t="str">
        <f t="shared" ref="AL418:AL464" si="96">IF(AJ418&lt;0,"Down",IF(AJ418&gt;0,"Up","Same"))</f>
        <v>Down</v>
      </c>
      <c r="AQ418" s="23">
        <v>10000</v>
      </c>
    </row>
    <row r="419" spans="1:43" x14ac:dyDescent="0.2">
      <c r="A419" s="226" t="s">
        <v>299</v>
      </c>
      <c r="B419" s="9" t="s">
        <v>495</v>
      </c>
      <c r="C419" s="9">
        <v>0</v>
      </c>
      <c r="D419" s="9">
        <v>0</v>
      </c>
      <c r="E419" s="9"/>
      <c r="F419" s="9" t="s">
        <v>495</v>
      </c>
      <c r="G419" s="83">
        <v>10000</v>
      </c>
      <c r="H419" s="83">
        <f t="shared" si="92"/>
        <v>10000</v>
      </c>
      <c r="I419" s="133">
        <f t="shared" si="93"/>
        <v>1</v>
      </c>
      <c r="J419" s="82">
        <v>833.37</v>
      </c>
      <c r="K419" s="82">
        <v>833.33</v>
      </c>
      <c r="L419" s="82">
        <v>833.33</v>
      </c>
      <c r="M419" s="82">
        <v>833.33</v>
      </c>
      <c r="N419" s="82">
        <v>833.33</v>
      </c>
      <c r="O419" s="82">
        <v>833.33</v>
      </c>
      <c r="P419" s="82">
        <v>833.33</v>
      </c>
      <c r="Q419" s="82">
        <v>833.33</v>
      </c>
      <c r="R419" s="82">
        <v>833.33</v>
      </c>
      <c r="S419" s="23">
        <v>833.33</v>
      </c>
      <c r="T419" s="23">
        <v>833.33</v>
      </c>
      <c r="U419" s="23">
        <v>833.33</v>
      </c>
      <c r="V419" s="7" t="s">
        <v>780</v>
      </c>
      <c r="W419" s="82">
        <f t="shared" si="94"/>
        <v>0</v>
      </c>
      <c r="Y419" s="4"/>
      <c r="Z419" s="4"/>
      <c r="AA419" s="82"/>
      <c r="AB419" s="82"/>
      <c r="AC419" s="82"/>
      <c r="AE419" s="7" t="s">
        <v>475</v>
      </c>
      <c r="AH419" s="23">
        <f>SUM('2021 Detail'!J402:U402)+SUM('2021 Detail'!AA402)</f>
        <v>10550</v>
      </c>
      <c r="AJ419" s="23">
        <f t="shared" si="95"/>
        <v>-550</v>
      </c>
      <c r="AL419" t="str">
        <f t="shared" si="96"/>
        <v>Down</v>
      </c>
      <c r="AQ419" s="23">
        <v>833.33</v>
      </c>
    </row>
    <row r="420" spans="1:43" x14ac:dyDescent="0.2">
      <c r="A420" s="226" t="s">
        <v>300</v>
      </c>
      <c r="B420" s="9" t="s">
        <v>495</v>
      </c>
      <c r="C420" s="9" t="s">
        <v>495</v>
      </c>
      <c r="D420" s="9">
        <v>0</v>
      </c>
      <c r="E420" s="9"/>
      <c r="F420" s="9">
        <v>0</v>
      </c>
      <c r="G420" s="83">
        <v>9389</v>
      </c>
      <c r="H420" s="83">
        <f t="shared" si="92"/>
        <v>3000</v>
      </c>
      <c r="I420" s="133">
        <f t="shared" si="93"/>
        <v>0.31950000000000001</v>
      </c>
      <c r="J420" s="82">
        <v>0</v>
      </c>
      <c r="K420" s="82"/>
      <c r="L420" s="82">
        <v>250</v>
      </c>
      <c r="M420" s="82">
        <v>750</v>
      </c>
      <c r="N420" s="82">
        <v>250</v>
      </c>
      <c r="O420" s="82">
        <v>250</v>
      </c>
      <c r="P420" s="82">
        <v>250</v>
      </c>
      <c r="Q420" s="82">
        <v>250</v>
      </c>
      <c r="R420" s="82">
        <v>250</v>
      </c>
      <c r="S420" s="23">
        <v>250</v>
      </c>
      <c r="T420" s="23">
        <v>250</v>
      </c>
      <c r="U420" s="23">
        <v>250</v>
      </c>
      <c r="V420" s="7" t="s">
        <v>781</v>
      </c>
      <c r="W420" s="82">
        <f t="shared" si="94"/>
        <v>6389</v>
      </c>
      <c r="Y420" s="4"/>
      <c r="Z420" s="4"/>
      <c r="AA420" s="82"/>
      <c r="AB420" s="82"/>
      <c r="AC420" s="82"/>
      <c r="AE420" s="7" t="s">
        <v>472</v>
      </c>
      <c r="AH420" s="23">
        <f>SUM('2021 Detail'!J403:U403)+SUM('2021 Detail'!AA403)</f>
        <v>0</v>
      </c>
      <c r="AJ420" s="23">
        <f t="shared" si="95"/>
        <v>3000</v>
      </c>
      <c r="AL420" t="str">
        <f t="shared" si="96"/>
        <v>Up</v>
      </c>
    </row>
    <row r="421" spans="1:43" x14ac:dyDescent="0.2">
      <c r="A421" s="226" t="s">
        <v>301</v>
      </c>
      <c r="B421" s="9" t="s">
        <v>495</v>
      </c>
      <c r="C421" s="9" t="s">
        <v>495</v>
      </c>
      <c r="D421" s="9" t="s">
        <v>495</v>
      </c>
      <c r="E421" s="9"/>
      <c r="F421" s="9" t="s">
        <v>495</v>
      </c>
      <c r="G421" s="83">
        <v>16981</v>
      </c>
      <c r="H421" s="83">
        <f t="shared" si="92"/>
        <v>16980.999999999996</v>
      </c>
      <c r="I421" s="133">
        <f t="shared" si="93"/>
        <v>1</v>
      </c>
      <c r="J421" s="82">
        <v>1727.12</v>
      </c>
      <c r="K421" s="82">
        <v>1386.78</v>
      </c>
      <c r="L421" s="82">
        <v>1386.71</v>
      </c>
      <c r="M421" s="82">
        <v>1386.71</v>
      </c>
      <c r="N421" s="82">
        <v>1386.71</v>
      </c>
      <c r="O421" s="82">
        <v>1386.71</v>
      </c>
      <c r="P421" s="82">
        <v>1386.71</v>
      </c>
      <c r="Q421" s="82">
        <v>1386.71</v>
      </c>
      <c r="R421" s="82">
        <v>1386.71</v>
      </c>
      <c r="S421" s="23">
        <v>1386.71</v>
      </c>
      <c r="T421" s="23">
        <v>1386.71</v>
      </c>
      <c r="U421" s="23">
        <v>1386.71</v>
      </c>
      <c r="V421" s="7" t="s">
        <v>782</v>
      </c>
      <c r="W421" s="82">
        <f t="shared" si="94"/>
        <v>0</v>
      </c>
      <c r="Y421" s="4"/>
      <c r="Z421" s="4"/>
      <c r="AA421" s="82"/>
      <c r="AB421" s="82"/>
      <c r="AC421" s="82"/>
      <c r="AE421" s="7" t="s">
        <v>472</v>
      </c>
      <c r="AH421" s="23">
        <f>SUM('2021 Detail'!J404:U404)+SUM('2021 Detail'!AA404)</f>
        <v>17293</v>
      </c>
      <c r="AJ421" s="23">
        <f t="shared" si="95"/>
        <v>-312.00000000000364</v>
      </c>
      <c r="AL421" t="str">
        <f t="shared" si="96"/>
        <v>Down</v>
      </c>
      <c r="AM421" t="s">
        <v>1116</v>
      </c>
      <c r="AQ421" s="23">
        <v>1103.08</v>
      </c>
    </row>
    <row r="422" spans="1:43" x14ac:dyDescent="0.2">
      <c r="A422" s="226" t="s">
        <v>302</v>
      </c>
      <c r="B422" s="9" t="s">
        <v>495</v>
      </c>
      <c r="C422" s="9" t="s">
        <v>495</v>
      </c>
      <c r="D422" s="9" t="s">
        <v>495</v>
      </c>
      <c r="E422" s="9"/>
      <c r="F422" s="9" t="s">
        <v>495</v>
      </c>
      <c r="G422" s="83">
        <v>2792</v>
      </c>
      <c r="H422" s="83">
        <f t="shared" si="92"/>
        <v>2791.9999999999995</v>
      </c>
      <c r="I422" s="133">
        <f t="shared" si="93"/>
        <v>1</v>
      </c>
      <c r="J422" s="82">
        <v>232.74</v>
      </c>
      <c r="K422" s="82">
        <v>232.66</v>
      </c>
      <c r="L422" s="82">
        <v>232.66</v>
      </c>
      <c r="M422" s="82">
        <v>232.66</v>
      </c>
      <c r="N422" s="82">
        <v>232.66</v>
      </c>
      <c r="O422" s="82">
        <v>232.66</v>
      </c>
      <c r="P422" s="82">
        <v>232.66</v>
      </c>
      <c r="Q422" s="82">
        <v>232.66</v>
      </c>
      <c r="R422" s="82">
        <v>232.66</v>
      </c>
      <c r="S422" s="23">
        <v>232.66</v>
      </c>
      <c r="T422" s="23">
        <v>232.66</v>
      </c>
      <c r="U422" s="23">
        <v>232.66</v>
      </c>
      <c r="V422" s="7" t="s">
        <v>783</v>
      </c>
      <c r="W422" s="82">
        <f t="shared" si="94"/>
        <v>0</v>
      </c>
      <c r="Y422" s="4"/>
      <c r="Z422" s="4"/>
      <c r="AA422" s="82"/>
      <c r="AB422" s="82"/>
      <c r="AC422" s="82"/>
      <c r="AE422" s="7" t="s">
        <v>472</v>
      </c>
      <c r="AH422" s="23">
        <f>SUM('2021 Detail'!J405:U405)+SUM('2021 Detail'!AA405)</f>
        <v>2792.0000000000005</v>
      </c>
      <c r="AJ422" s="23">
        <f t="shared" si="95"/>
        <v>0</v>
      </c>
      <c r="AL422" t="str">
        <f t="shared" si="96"/>
        <v>Same</v>
      </c>
      <c r="AQ422" s="23">
        <v>232.65</v>
      </c>
    </row>
    <row r="423" spans="1:43" x14ac:dyDescent="0.2">
      <c r="A423" s="226" t="s">
        <v>303</v>
      </c>
      <c r="B423" s="9" t="s">
        <v>495</v>
      </c>
      <c r="C423" s="9" t="s">
        <v>495</v>
      </c>
      <c r="D423" s="9">
        <v>0</v>
      </c>
      <c r="E423" s="9"/>
      <c r="F423" s="9">
        <v>0</v>
      </c>
      <c r="G423" s="83">
        <v>8878</v>
      </c>
      <c r="H423" s="83">
        <f t="shared" si="92"/>
        <v>8878</v>
      </c>
      <c r="I423" s="133">
        <f t="shared" si="93"/>
        <v>1</v>
      </c>
      <c r="J423" s="82">
        <v>0</v>
      </c>
      <c r="K423" s="82">
        <v>4439</v>
      </c>
      <c r="L423" s="82"/>
      <c r="M423" s="82"/>
      <c r="N423" s="82"/>
      <c r="O423" s="82"/>
      <c r="P423" s="82">
        <v>4439</v>
      </c>
      <c r="Q423" s="82"/>
      <c r="R423" s="82"/>
      <c r="S423" s="23"/>
      <c r="T423" s="23"/>
      <c r="U423" s="23"/>
      <c r="V423" s="7" t="s">
        <v>784</v>
      </c>
      <c r="W423" s="82">
        <f t="shared" si="94"/>
        <v>0</v>
      </c>
      <c r="Y423" s="4"/>
      <c r="Z423" s="4"/>
      <c r="AA423" s="82"/>
      <c r="AB423" s="82"/>
      <c r="AC423" s="82"/>
      <c r="AE423" s="7" t="s">
        <v>472</v>
      </c>
      <c r="AH423" s="23">
        <f>SUM('2021 Detail'!J406:U406)+SUM('2021 Detail'!AA406)</f>
        <v>8878</v>
      </c>
      <c r="AJ423" s="23">
        <f t="shared" si="95"/>
        <v>0</v>
      </c>
      <c r="AL423" t="str">
        <f t="shared" si="96"/>
        <v>Same</v>
      </c>
    </row>
    <row r="424" spans="1:43" x14ac:dyDescent="0.2">
      <c r="A424" s="226" t="s">
        <v>304</v>
      </c>
      <c r="B424" s="9" t="s">
        <v>495</v>
      </c>
      <c r="C424" s="9" t="s">
        <v>495</v>
      </c>
      <c r="D424" s="9" t="s">
        <v>495</v>
      </c>
      <c r="E424" s="9"/>
      <c r="F424" s="9" t="s">
        <v>495</v>
      </c>
      <c r="G424" s="83">
        <v>19182</v>
      </c>
      <c r="H424" s="83">
        <f t="shared" si="92"/>
        <v>19182</v>
      </c>
      <c r="I424" s="133">
        <f t="shared" si="93"/>
        <v>1</v>
      </c>
      <c r="J424" s="82">
        <v>1598.5</v>
      </c>
      <c r="K424" s="82">
        <v>1598.5</v>
      </c>
      <c r="L424" s="82">
        <v>1598.5</v>
      </c>
      <c r="M424" s="82">
        <v>1598.5</v>
      </c>
      <c r="N424" s="82">
        <v>1598.5</v>
      </c>
      <c r="O424" s="82">
        <v>1598.5</v>
      </c>
      <c r="P424" s="82">
        <v>1598.5</v>
      </c>
      <c r="Q424" s="82">
        <v>1598.5</v>
      </c>
      <c r="R424" s="82">
        <v>1598.5</v>
      </c>
      <c r="S424" s="23">
        <v>1598.5</v>
      </c>
      <c r="T424" s="23">
        <v>1598.5</v>
      </c>
      <c r="U424" s="23">
        <v>1598.5</v>
      </c>
      <c r="V424" s="7" t="s">
        <v>785</v>
      </c>
      <c r="W424" s="82">
        <f t="shared" si="94"/>
        <v>0</v>
      </c>
      <c r="Y424" s="4"/>
      <c r="Z424" s="4"/>
      <c r="AA424" s="82"/>
      <c r="AB424" s="82"/>
      <c r="AC424" s="82"/>
      <c r="AE424" s="7" t="s">
        <v>472</v>
      </c>
      <c r="AH424" s="23">
        <f>SUM('2021 Detail'!J407:U407)+SUM('2021 Detail'!AA407)</f>
        <v>19182</v>
      </c>
      <c r="AJ424" s="23">
        <f t="shared" si="95"/>
        <v>0</v>
      </c>
      <c r="AL424" t="str">
        <f t="shared" si="96"/>
        <v>Same</v>
      </c>
      <c r="AQ424" s="23">
        <v>1598.5</v>
      </c>
    </row>
    <row r="425" spans="1:43" x14ac:dyDescent="0.2">
      <c r="A425" s="226" t="s">
        <v>305</v>
      </c>
      <c r="B425" s="9" t="s">
        <v>495</v>
      </c>
      <c r="C425" s="9" t="s">
        <v>495</v>
      </c>
      <c r="D425" s="9">
        <v>0</v>
      </c>
      <c r="E425" s="9"/>
      <c r="F425" s="9" t="s">
        <v>638</v>
      </c>
      <c r="G425" s="83">
        <v>11113</v>
      </c>
      <c r="H425" s="83">
        <f t="shared" si="92"/>
        <v>11113</v>
      </c>
      <c r="I425" s="133">
        <f t="shared" si="93"/>
        <v>1</v>
      </c>
      <c r="J425" s="82">
        <v>926.12</v>
      </c>
      <c r="K425" s="82">
        <v>926.08</v>
      </c>
      <c r="L425" s="82">
        <v>926.08</v>
      </c>
      <c r="M425" s="82">
        <v>926.08</v>
      </c>
      <c r="N425" s="82">
        <v>926.08</v>
      </c>
      <c r="O425" s="82">
        <v>926.08</v>
      </c>
      <c r="P425" s="82">
        <v>926.08</v>
      </c>
      <c r="Q425" s="82">
        <v>926.08</v>
      </c>
      <c r="R425" s="82">
        <v>926.08</v>
      </c>
      <c r="S425" s="23">
        <v>926.08</v>
      </c>
      <c r="T425" s="23">
        <v>926.08</v>
      </c>
      <c r="U425" s="23">
        <v>926.08</v>
      </c>
      <c r="V425" s="7" t="s">
        <v>786</v>
      </c>
      <c r="W425" s="82">
        <f t="shared" si="94"/>
        <v>0</v>
      </c>
      <c r="Y425" s="4"/>
      <c r="Z425" s="4"/>
      <c r="AA425" s="82"/>
      <c r="AB425" s="82"/>
      <c r="AC425" s="82"/>
      <c r="AE425" s="7" t="s">
        <v>473</v>
      </c>
      <c r="AH425" s="23">
        <f>SUM('2021 Detail'!J408:U408)+SUM('2021 Detail'!AA408)</f>
        <v>11112.999999999998</v>
      </c>
      <c r="AJ425" s="23">
        <f t="shared" si="95"/>
        <v>0</v>
      </c>
      <c r="AL425" t="str">
        <f t="shared" si="96"/>
        <v>Same</v>
      </c>
      <c r="AQ425" s="23">
        <v>926.64</v>
      </c>
    </row>
    <row r="426" spans="1:43" x14ac:dyDescent="0.2">
      <c r="A426" s="226" t="s">
        <v>306</v>
      </c>
      <c r="B426" s="9" t="s">
        <v>495</v>
      </c>
      <c r="C426" s="9" t="s">
        <v>495</v>
      </c>
      <c r="D426" s="9" t="s">
        <v>495</v>
      </c>
      <c r="E426" s="9"/>
      <c r="F426" s="9" t="s">
        <v>495</v>
      </c>
      <c r="G426" s="83">
        <v>1933</v>
      </c>
      <c r="H426" s="83">
        <f t="shared" si="92"/>
        <v>1932.9999999999998</v>
      </c>
      <c r="I426" s="133">
        <f t="shared" si="93"/>
        <v>1</v>
      </c>
      <c r="J426" s="82">
        <v>161.12</v>
      </c>
      <c r="K426" s="82">
        <v>161.08000000000001</v>
      </c>
      <c r="L426" s="82">
        <v>161.08000000000001</v>
      </c>
      <c r="M426" s="82">
        <v>161.08000000000001</v>
      </c>
      <c r="N426" s="82">
        <v>161.08000000000001</v>
      </c>
      <c r="O426" s="82">
        <v>161.08000000000001</v>
      </c>
      <c r="P426" s="82">
        <v>161.08000000000001</v>
      </c>
      <c r="Q426" s="82">
        <v>161.08000000000001</v>
      </c>
      <c r="R426" s="82">
        <v>161.08000000000001</v>
      </c>
      <c r="S426" s="23">
        <v>161.08000000000001</v>
      </c>
      <c r="T426" s="23">
        <v>161.08000000000001</v>
      </c>
      <c r="U426" s="23">
        <v>161.08000000000001</v>
      </c>
      <c r="V426" s="7" t="s">
        <v>787</v>
      </c>
      <c r="W426" s="82">
        <f t="shared" si="94"/>
        <v>0</v>
      </c>
      <c r="Y426" s="4"/>
      <c r="Z426" s="4"/>
      <c r="AA426" s="82"/>
      <c r="AB426" s="82"/>
      <c r="AC426" s="82"/>
      <c r="AE426" s="7" t="s">
        <v>472</v>
      </c>
      <c r="AH426" s="23">
        <f>SUM('2021 Detail'!J409:U409)+SUM('2021 Detail'!AA409)</f>
        <v>1932.9999999999998</v>
      </c>
      <c r="AJ426" s="23">
        <f t="shared" si="95"/>
        <v>0</v>
      </c>
      <c r="AL426" t="str">
        <f t="shared" si="96"/>
        <v>Same</v>
      </c>
      <c r="AQ426" s="23">
        <v>161.08000000000001</v>
      </c>
    </row>
    <row r="427" spans="1:43" x14ac:dyDescent="0.2">
      <c r="A427" s="226" t="s">
        <v>307</v>
      </c>
      <c r="B427" s="9" t="s">
        <v>495</v>
      </c>
      <c r="C427" s="9" t="s">
        <v>495</v>
      </c>
      <c r="D427" s="9" t="s">
        <v>495</v>
      </c>
      <c r="E427" s="9"/>
      <c r="F427" s="9" t="s">
        <v>495</v>
      </c>
      <c r="G427" s="83">
        <v>21486</v>
      </c>
      <c r="H427" s="83">
        <f t="shared" si="92"/>
        <v>21486</v>
      </c>
      <c r="I427" s="133">
        <f t="shared" si="93"/>
        <v>1</v>
      </c>
      <c r="J427" s="82">
        <v>1000</v>
      </c>
      <c r="K427" s="82">
        <v>1000</v>
      </c>
      <c r="L427" s="82">
        <v>1000</v>
      </c>
      <c r="M427" s="82">
        <v>1000</v>
      </c>
      <c r="N427" s="82">
        <v>1000</v>
      </c>
      <c r="O427" s="82">
        <v>1000</v>
      </c>
      <c r="P427" s="82">
        <v>1000</v>
      </c>
      <c r="Q427" s="82">
        <v>1000</v>
      </c>
      <c r="R427" s="82">
        <v>1000</v>
      </c>
      <c r="S427" s="23">
        <v>7000</v>
      </c>
      <c r="T427" s="23">
        <v>1000</v>
      </c>
      <c r="U427" s="23">
        <v>4486</v>
      </c>
      <c r="V427" s="7" t="s">
        <v>788</v>
      </c>
      <c r="W427" s="82">
        <f t="shared" si="94"/>
        <v>0</v>
      </c>
      <c r="Y427" s="4"/>
      <c r="Z427" s="4"/>
      <c r="AA427" s="82"/>
      <c r="AB427" s="82"/>
      <c r="AC427" s="82"/>
      <c r="AE427" s="7" t="s">
        <v>473</v>
      </c>
      <c r="AH427" s="23">
        <f>SUM('2021 Detail'!J410:U410)+SUM('2021 Detail'!AA410)</f>
        <v>21114.23</v>
      </c>
      <c r="AJ427" s="23">
        <f t="shared" si="95"/>
        <v>371.77000000000044</v>
      </c>
      <c r="AL427" t="str">
        <f t="shared" si="96"/>
        <v>Up</v>
      </c>
      <c r="AQ427" s="23">
        <v>5114.2299999999996</v>
      </c>
    </row>
    <row r="428" spans="1:43" x14ac:dyDescent="0.2">
      <c r="A428" s="226" t="s">
        <v>308</v>
      </c>
      <c r="B428" s="9" t="s">
        <v>495</v>
      </c>
      <c r="C428" s="9" t="s">
        <v>495</v>
      </c>
      <c r="D428" s="9" t="s">
        <v>495</v>
      </c>
      <c r="E428" s="9"/>
      <c r="F428" s="9">
        <v>0</v>
      </c>
      <c r="G428" s="83">
        <v>3334</v>
      </c>
      <c r="H428" s="83">
        <f t="shared" si="92"/>
        <v>3446</v>
      </c>
      <c r="I428" s="133">
        <f t="shared" si="93"/>
        <v>1.0336000000000001</v>
      </c>
      <c r="J428" s="82">
        <v>281.68</v>
      </c>
      <c r="K428" s="82">
        <v>277.52</v>
      </c>
      <c r="L428" s="82">
        <v>277.48</v>
      </c>
      <c r="M428" s="82">
        <v>277.48</v>
      </c>
      <c r="N428" s="82">
        <v>277.48</v>
      </c>
      <c r="O428" s="82">
        <v>277.48</v>
      </c>
      <c r="P428" s="82">
        <v>277.48</v>
      </c>
      <c r="Q428" s="82">
        <v>277.48</v>
      </c>
      <c r="R428" s="82">
        <v>277.48</v>
      </c>
      <c r="S428" s="23">
        <v>277.48</v>
      </c>
      <c r="T428" s="23">
        <v>389.48</v>
      </c>
      <c r="U428" s="23">
        <v>277.48</v>
      </c>
      <c r="V428" s="7" t="s">
        <v>789</v>
      </c>
      <c r="W428" s="82">
        <f t="shared" si="94"/>
        <v>-112</v>
      </c>
      <c r="Y428" s="4"/>
      <c r="Z428" s="4"/>
      <c r="AA428" s="82"/>
      <c r="AB428" s="82"/>
      <c r="AC428" s="82"/>
      <c r="AE428" s="7" t="s">
        <v>473</v>
      </c>
      <c r="AH428" s="23">
        <f>SUM('2021 Detail'!J411:U411)+SUM('2021 Detail'!AA411)</f>
        <v>3337.8100000000004</v>
      </c>
      <c r="AJ428" s="23">
        <f t="shared" si="95"/>
        <v>108.1899999999996</v>
      </c>
      <c r="AL428" t="str">
        <f t="shared" si="96"/>
        <v>Up</v>
      </c>
      <c r="AM428" t="s">
        <v>1117</v>
      </c>
      <c r="AQ428" s="23">
        <v>299.27999999999997</v>
      </c>
    </row>
    <row r="429" spans="1:43" x14ac:dyDescent="0.2">
      <c r="A429" s="226" t="s">
        <v>309</v>
      </c>
      <c r="B429" s="9" t="s">
        <v>495</v>
      </c>
      <c r="C429" s="9">
        <v>0</v>
      </c>
      <c r="D429" s="9" t="s">
        <v>495</v>
      </c>
      <c r="E429" s="9"/>
      <c r="F429" s="9">
        <v>0</v>
      </c>
      <c r="G429" s="83">
        <v>6297</v>
      </c>
      <c r="H429" s="83">
        <f t="shared" si="92"/>
        <v>4000</v>
      </c>
      <c r="I429" s="133">
        <f t="shared" si="93"/>
        <v>0.63519999999999999</v>
      </c>
      <c r="J429" s="82">
        <v>0</v>
      </c>
      <c r="K429" s="82"/>
      <c r="L429" s="82"/>
      <c r="M429" s="82"/>
      <c r="N429" s="82"/>
      <c r="O429" s="82">
        <v>2000</v>
      </c>
      <c r="P429" s="82"/>
      <c r="Q429" s="82"/>
      <c r="R429" s="82"/>
      <c r="S429" s="23">
        <v>1000</v>
      </c>
      <c r="T429" s="23"/>
      <c r="U429" s="23">
        <v>1000</v>
      </c>
      <c r="V429" s="7" t="s">
        <v>790</v>
      </c>
      <c r="W429" s="82">
        <f t="shared" si="94"/>
        <v>2297</v>
      </c>
      <c r="Y429" s="4"/>
      <c r="Z429" s="4"/>
      <c r="AA429" s="82"/>
      <c r="AB429" s="82"/>
      <c r="AC429" s="82"/>
      <c r="AE429" s="7" t="s">
        <v>473</v>
      </c>
      <c r="AH429" s="23">
        <f>SUM('2021 Detail'!J412:U412)+SUM('2021 Detail'!AA412)</f>
        <v>4000</v>
      </c>
      <c r="AJ429" s="23">
        <f t="shared" si="95"/>
        <v>0</v>
      </c>
      <c r="AL429" t="str">
        <f t="shared" si="96"/>
        <v>Same</v>
      </c>
      <c r="AQ429" s="23">
        <v>2500</v>
      </c>
    </row>
    <row r="430" spans="1:43" x14ac:dyDescent="0.2">
      <c r="A430" s="226" t="s">
        <v>310</v>
      </c>
      <c r="B430" s="9" t="s">
        <v>495</v>
      </c>
      <c r="C430" s="9" t="s">
        <v>495</v>
      </c>
      <c r="D430" s="9" t="s">
        <v>495</v>
      </c>
      <c r="E430" s="9"/>
      <c r="F430" s="9" t="s">
        <v>495</v>
      </c>
      <c r="G430" s="83">
        <v>16000</v>
      </c>
      <c r="H430" s="83">
        <f t="shared" si="92"/>
        <v>16000</v>
      </c>
      <c r="I430" s="133">
        <f t="shared" si="93"/>
        <v>1</v>
      </c>
      <c r="J430" s="82">
        <v>1000</v>
      </c>
      <c r="K430" s="82">
        <v>1000</v>
      </c>
      <c r="L430" s="82">
        <v>1000</v>
      </c>
      <c r="M430" s="82">
        <v>1000</v>
      </c>
      <c r="N430" s="82">
        <v>1000</v>
      </c>
      <c r="O430" s="82">
        <v>1000</v>
      </c>
      <c r="P430" s="82">
        <v>1000</v>
      </c>
      <c r="Q430" s="82">
        <v>1000</v>
      </c>
      <c r="R430" s="82">
        <v>1000</v>
      </c>
      <c r="S430" s="23">
        <v>1000</v>
      </c>
      <c r="T430" s="23">
        <v>1000</v>
      </c>
      <c r="U430" s="23">
        <v>5000</v>
      </c>
      <c r="V430" s="7" t="s">
        <v>791</v>
      </c>
      <c r="W430" s="82">
        <f t="shared" si="94"/>
        <v>0</v>
      </c>
      <c r="Y430" s="4"/>
      <c r="Z430" s="4"/>
      <c r="AA430" s="82"/>
      <c r="AB430" s="82"/>
      <c r="AC430" s="82"/>
      <c r="AE430" s="7" t="s">
        <v>475</v>
      </c>
      <c r="AH430" s="23">
        <f>SUM('2021 Detail'!J413:U413)+SUM('2021 Detail'!AA413)</f>
        <v>16000</v>
      </c>
      <c r="AJ430" s="23">
        <f t="shared" si="95"/>
        <v>0</v>
      </c>
      <c r="AL430" t="str">
        <f t="shared" si="96"/>
        <v>Same</v>
      </c>
      <c r="AQ430" s="23">
        <v>5000</v>
      </c>
    </row>
    <row r="431" spans="1:43" x14ac:dyDescent="0.2">
      <c r="A431" s="226" t="s">
        <v>311</v>
      </c>
      <c r="B431" s="9" t="s">
        <v>495</v>
      </c>
      <c r="C431" s="9">
        <v>0</v>
      </c>
      <c r="D431" s="9">
        <v>0</v>
      </c>
      <c r="E431" s="9"/>
      <c r="F431" s="9" t="s">
        <v>495</v>
      </c>
      <c r="G431" s="83">
        <v>11963</v>
      </c>
      <c r="H431" s="83">
        <f t="shared" si="92"/>
        <v>11963</v>
      </c>
      <c r="I431" s="133">
        <f t="shared" si="93"/>
        <v>1</v>
      </c>
      <c r="J431" s="82">
        <v>996.99</v>
      </c>
      <c r="K431" s="82">
        <v>996.91</v>
      </c>
      <c r="L431" s="82">
        <v>996.91</v>
      </c>
      <c r="M431" s="82">
        <v>996.91</v>
      </c>
      <c r="N431" s="82">
        <v>996.91</v>
      </c>
      <c r="O431" s="82">
        <v>996.91</v>
      </c>
      <c r="P431" s="82">
        <v>996.91</v>
      </c>
      <c r="Q431" s="82">
        <v>996.91</v>
      </c>
      <c r="R431" s="82">
        <v>996.91</v>
      </c>
      <c r="S431" s="23">
        <v>996.91</v>
      </c>
      <c r="T431" s="23">
        <v>996.91</v>
      </c>
      <c r="U431" s="23">
        <v>996.91</v>
      </c>
      <c r="V431" s="7" t="s">
        <v>792</v>
      </c>
      <c r="W431" s="82">
        <f t="shared" si="94"/>
        <v>0</v>
      </c>
      <c r="Y431" s="4"/>
      <c r="Z431" s="4"/>
      <c r="AA431" s="82"/>
      <c r="AB431" s="82"/>
      <c r="AC431" s="82"/>
      <c r="AE431" s="7" t="s">
        <v>474</v>
      </c>
      <c r="AH431" s="23">
        <f>SUM('2021 Detail'!J414:U414)+SUM('2021 Detail'!AA414)</f>
        <v>13171.999999999998</v>
      </c>
      <c r="AJ431" s="23">
        <f t="shared" si="95"/>
        <v>-1208.9999999999982</v>
      </c>
      <c r="AL431" t="str">
        <f t="shared" si="96"/>
        <v>Down</v>
      </c>
      <c r="AQ431" s="23">
        <v>1074.05</v>
      </c>
    </row>
    <row r="432" spans="1:43" x14ac:dyDescent="0.2">
      <c r="A432" s="226" t="s">
        <v>312</v>
      </c>
      <c r="B432" s="9" t="s">
        <v>495</v>
      </c>
      <c r="C432" s="9" t="s">
        <v>495</v>
      </c>
      <c r="D432" s="9" t="s">
        <v>495</v>
      </c>
      <c r="E432" s="9"/>
      <c r="F432" s="9">
        <v>0</v>
      </c>
      <c r="G432" s="83">
        <v>1907</v>
      </c>
      <c r="H432" s="83">
        <f t="shared" si="92"/>
        <v>0</v>
      </c>
      <c r="I432" s="133">
        <f t="shared" si="93"/>
        <v>0</v>
      </c>
      <c r="J432" s="82">
        <v>0</v>
      </c>
      <c r="K432" s="82"/>
      <c r="L432" s="82"/>
      <c r="M432" s="82"/>
      <c r="N432" s="82"/>
      <c r="O432" s="82"/>
      <c r="P432" s="82"/>
      <c r="Q432" s="82"/>
      <c r="R432" s="82"/>
      <c r="S432" s="23"/>
      <c r="T432" s="23"/>
      <c r="U432" s="23"/>
      <c r="V432" s="7" t="s">
        <v>793</v>
      </c>
      <c r="W432" s="82">
        <f t="shared" si="94"/>
        <v>1907</v>
      </c>
      <c r="Y432" s="4"/>
      <c r="Z432" s="4"/>
      <c r="AA432" s="82"/>
      <c r="AB432" s="82"/>
      <c r="AC432" s="82"/>
      <c r="AE432" s="7" t="s">
        <v>474</v>
      </c>
      <c r="AH432" s="23">
        <f>SUM('2021 Detail'!J415:U415)+SUM('2021 Detail'!AA415)</f>
        <v>0</v>
      </c>
      <c r="AJ432" s="23">
        <f t="shared" si="95"/>
        <v>0</v>
      </c>
      <c r="AL432" t="str">
        <f t="shared" si="96"/>
        <v>Same</v>
      </c>
    </row>
    <row r="433" spans="1:43" x14ac:dyDescent="0.2">
      <c r="A433" s="226" t="s">
        <v>313</v>
      </c>
      <c r="B433" s="9" t="s">
        <v>495</v>
      </c>
      <c r="C433" s="9" t="s">
        <v>495</v>
      </c>
      <c r="D433" s="9" t="s">
        <v>495</v>
      </c>
      <c r="E433" s="9"/>
      <c r="F433" s="9">
        <v>0</v>
      </c>
      <c r="G433" s="83">
        <v>10118</v>
      </c>
      <c r="H433" s="83">
        <f t="shared" si="92"/>
        <v>10118</v>
      </c>
      <c r="I433" s="133">
        <f t="shared" si="93"/>
        <v>1</v>
      </c>
      <c r="J433" s="82">
        <v>1000</v>
      </c>
      <c r="K433" s="82">
        <v>800</v>
      </c>
      <c r="L433" s="82">
        <v>1000</v>
      </c>
      <c r="M433" s="82">
        <v>1000</v>
      </c>
      <c r="N433" s="82">
        <v>1000</v>
      </c>
      <c r="O433" s="82">
        <v>1000</v>
      </c>
      <c r="P433" s="82">
        <v>1000</v>
      </c>
      <c r="Q433" s="82">
        <v>618</v>
      </c>
      <c r="R433" s="82">
        <v>700</v>
      </c>
      <c r="S433" s="23">
        <v>1000</v>
      </c>
      <c r="T433" s="23">
        <v>1000</v>
      </c>
      <c r="U433" s="23"/>
      <c r="V433" s="7" t="s">
        <v>794</v>
      </c>
      <c r="W433" s="82">
        <f t="shared" si="94"/>
        <v>0</v>
      </c>
      <c r="Y433" s="4"/>
      <c r="Z433" s="4"/>
      <c r="AA433" s="82"/>
      <c r="AB433" s="82"/>
      <c r="AC433" s="82"/>
      <c r="AE433" s="7" t="s">
        <v>474</v>
      </c>
      <c r="AH433" s="23">
        <f>SUM('2021 Detail'!J416:U416)+SUM('2021 Detail'!AA416)</f>
        <v>11141</v>
      </c>
      <c r="AJ433" s="23">
        <f t="shared" si="95"/>
        <v>-1023</v>
      </c>
      <c r="AL433" t="str">
        <f t="shared" si="96"/>
        <v>Down</v>
      </c>
      <c r="AQ433" s="23">
        <v>1500</v>
      </c>
    </row>
    <row r="434" spans="1:43" x14ac:dyDescent="0.2">
      <c r="A434" s="226" t="s">
        <v>314</v>
      </c>
      <c r="B434" s="9" t="s">
        <v>495</v>
      </c>
      <c r="C434" s="9" t="s">
        <v>495</v>
      </c>
      <c r="D434" s="9">
        <v>0</v>
      </c>
      <c r="E434" s="9"/>
      <c r="F434" s="9">
        <v>0</v>
      </c>
      <c r="G434" s="83">
        <v>6301</v>
      </c>
      <c r="H434" s="83">
        <f t="shared" si="92"/>
        <v>6301</v>
      </c>
      <c r="I434" s="133">
        <f t="shared" si="93"/>
        <v>1</v>
      </c>
      <c r="J434" s="82">
        <v>0</v>
      </c>
      <c r="K434" s="82"/>
      <c r="L434" s="82"/>
      <c r="M434" s="82"/>
      <c r="N434" s="82"/>
      <c r="O434" s="82">
        <v>4312</v>
      </c>
      <c r="P434" s="82"/>
      <c r="Q434" s="82"/>
      <c r="R434" s="82"/>
      <c r="S434" s="23">
        <v>1989</v>
      </c>
      <c r="T434" s="23"/>
      <c r="U434" s="23"/>
      <c r="V434" s="7" t="s">
        <v>795</v>
      </c>
      <c r="W434" s="82">
        <f t="shared" si="94"/>
        <v>0</v>
      </c>
      <c r="Y434" s="4"/>
      <c r="Z434" s="4"/>
      <c r="AA434" s="82"/>
      <c r="AB434" s="82"/>
      <c r="AC434" s="82"/>
      <c r="AE434" s="7" t="s">
        <v>474</v>
      </c>
      <c r="AH434" s="23">
        <f>SUM('2021 Detail'!J417:U417)+SUM('2021 Detail'!AA417)</f>
        <v>4000</v>
      </c>
      <c r="AJ434" s="23">
        <f t="shared" si="95"/>
        <v>2301</v>
      </c>
      <c r="AL434" t="str">
        <f t="shared" si="96"/>
        <v>Up</v>
      </c>
      <c r="AQ434" s="23">
        <v>3000</v>
      </c>
    </row>
    <row r="435" spans="1:43" x14ac:dyDescent="0.2">
      <c r="A435" s="226" t="s">
        <v>315</v>
      </c>
      <c r="B435" s="9" t="s">
        <v>495</v>
      </c>
      <c r="C435" s="9" t="s">
        <v>495</v>
      </c>
      <c r="D435" s="9">
        <v>0</v>
      </c>
      <c r="E435" s="9"/>
      <c r="F435" s="9">
        <v>0</v>
      </c>
      <c r="G435" s="83">
        <v>7214</v>
      </c>
      <c r="H435" s="83">
        <f t="shared" si="92"/>
        <v>7214</v>
      </c>
      <c r="I435" s="133">
        <f t="shared" si="93"/>
        <v>1</v>
      </c>
      <c r="J435" s="82">
        <v>0</v>
      </c>
      <c r="K435" s="82"/>
      <c r="L435" s="82"/>
      <c r="M435" s="82">
        <v>2000</v>
      </c>
      <c r="N435" s="82"/>
      <c r="O435" s="82">
        <v>2000</v>
      </c>
      <c r="P435" s="82"/>
      <c r="Q435" s="82"/>
      <c r="R435" s="82">
        <v>2000</v>
      </c>
      <c r="S435" s="23"/>
      <c r="T435" s="23">
        <v>1214</v>
      </c>
      <c r="U435" s="23"/>
      <c r="V435" s="7" t="s">
        <v>796</v>
      </c>
      <c r="W435" s="82">
        <f t="shared" si="94"/>
        <v>0</v>
      </c>
      <c r="Y435" s="4"/>
      <c r="Z435" s="4"/>
      <c r="AA435" s="82"/>
      <c r="AB435" s="82"/>
      <c r="AC435" s="82"/>
      <c r="AE435" s="7" t="s">
        <v>474</v>
      </c>
      <c r="AH435" s="23">
        <f>SUM('2021 Detail'!J418:U418)+SUM('2021 Detail'!AA418)</f>
        <v>7943</v>
      </c>
      <c r="AJ435" s="23">
        <f t="shared" si="95"/>
        <v>-729</v>
      </c>
      <c r="AL435" t="str">
        <f t="shared" si="96"/>
        <v>Down</v>
      </c>
      <c r="AQ435" s="23">
        <v>1443</v>
      </c>
    </row>
    <row r="436" spans="1:43" x14ac:dyDescent="0.2">
      <c r="A436" s="226" t="s">
        <v>316</v>
      </c>
      <c r="B436" s="9" t="s">
        <v>495</v>
      </c>
      <c r="C436" s="9" t="s">
        <v>495</v>
      </c>
      <c r="D436" s="9">
        <v>0</v>
      </c>
      <c r="E436" s="9"/>
      <c r="F436" s="9" t="s">
        <v>495</v>
      </c>
      <c r="G436" s="83">
        <v>95500</v>
      </c>
      <c r="H436" s="83">
        <f t="shared" si="92"/>
        <v>95500</v>
      </c>
      <c r="I436" s="133">
        <f t="shared" si="93"/>
        <v>1</v>
      </c>
      <c r="J436" s="82">
        <v>7500</v>
      </c>
      <c r="K436" s="82">
        <v>8000</v>
      </c>
      <c r="L436" s="82">
        <v>8000</v>
      </c>
      <c r="M436" s="82">
        <v>8000</v>
      </c>
      <c r="N436" s="82">
        <v>8000</v>
      </c>
      <c r="O436" s="82">
        <v>8000</v>
      </c>
      <c r="P436" s="82">
        <v>8000</v>
      </c>
      <c r="Q436" s="82">
        <v>8000</v>
      </c>
      <c r="R436" s="82">
        <v>8000</v>
      </c>
      <c r="S436" s="23">
        <v>8000</v>
      </c>
      <c r="T436" s="23">
        <v>8000</v>
      </c>
      <c r="U436" s="23">
        <v>8000</v>
      </c>
      <c r="V436" s="7" t="s">
        <v>797</v>
      </c>
      <c r="W436" s="82">
        <f t="shared" si="94"/>
        <v>0</v>
      </c>
      <c r="Y436" s="4"/>
      <c r="Z436" s="4"/>
      <c r="AA436" s="82"/>
      <c r="AB436" s="82"/>
      <c r="AC436" s="82"/>
      <c r="AE436" s="7" t="s">
        <v>475</v>
      </c>
      <c r="AH436" s="23">
        <f>SUM('2021 Detail'!J419:U419)+SUM('2021 Detail'!AA419)</f>
        <v>94587</v>
      </c>
      <c r="AJ436" s="23">
        <f t="shared" si="95"/>
        <v>913</v>
      </c>
      <c r="AL436" t="str">
        <f t="shared" si="96"/>
        <v>Up</v>
      </c>
      <c r="AQ436" s="23">
        <v>12087</v>
      </c>
    </row>
    <row r="437" spans="1:43" x14ac:dyDescent="0.2">
      <c r="A437" s="226" t="s">
        <v>317</v>
      </c>
      <c r="B437" s="9" t="s">
        <v>495</v>
      </c>
      <c r="C437" s="9">
        <v>0</v>
      </c>
      <c r="D437" s="9" t="s">
        <v>495</v>
      </c>
      <c r="E437" s="9"/>
      <c r="F437" s="9" t="s">
        <v>495</v>
      </c>
      <c r="G437" s="83">
        <v>5500</v>
      </c>
      <c r="H437" s="83">
        <f t="shared" si="92"/>
        <v>5500</v>
      </c>
      <c r="I437" s="133">
        <f t="shared" si="93"/>
        <v>1</v>
      </c>
      <c r="J437" s="82">
        <v>416.74</v>
      </c>
      <c r="K437" s="82">
        <v>462.16</v>
      </c>
      <c r="L437" s="82">
        <v>462.11</v>
      </c>
      <c r="M437" s="82">
        <v>462.11</v>
      </c>
      <c r="N437" s="82">
        <v>462.11</v>
      </c>
      <c r="O437" s="82">
        <v>462.11</v>
      </c>
      <c r="P437" s="82">
        <v>462.11</v>
      </c>
      <c r="Q437" s="82">
        <v>462.11</v>
      </c>
      <c r="R437" s="82">
        <v>462.11</v>
      </c>
      <c r="S437" s="23">
        <v>462.11</v>
      </c>
      <c r="T437" s="23">
        <v>462.11</v>
      </c>
      <c r="U437" s="23">
        <v>462.11</v>
      </c>
      <c r="V437" s="7" t="s">
        <v>798</v>
      </c>
      <c r="W437" s="82">
        <f t="shared" si="94"/>
        <v>0</v>
      </c>
      <c r="Y437" s="4"/>
      <c r="Z437" s="4"/>
      <c r="AA437" s="82"/>
      <c r="AB437" s="82"/>
      <c r="AC437" s="82"/>
      <c r="AE437" s="7" t="s">
        <v>475</v>
      </c>
      <c r="AH437" s="23">
        <f>SUM('2021 Detail'!J420:U420)+SUM('2021 Detail'!AA420)</f>
        <v>5249.9999999999991</v>
      </c>
      <c r="AJ437" s="23">
        <f t="shared" si="95"/>
        <v>250.00000000000091</v>
      </c>
      <c r="AL437" t="str">
        <f t="shared" si="96"/>
        <v>Up</v>
      </c>
      <c r="AQ437" s="23">
        <v>416.66</v>
      </c>
    </row>
    <row r="438" spans="1:43" x14ac:dyDescent="0.2">
      <c r="A438" s="226" t="s">
        <v>318</v>
      </c>
      <c r="B438" s="9" t="s">
        <v>495</v>
      </c>
      <c r="C438" s="9" t="s">
        <v>495</v>
      </c>
      <c r="D438" s="9">
        <v>0</v>
      </c>
      <c r="E438" s="9"/>
      <c r="F438" s="9">
        <v>0</v>
      </c>
      <c r="G438" s="83">
        <v>5000</v>
      </c>
      <c r="H438" s="83">
        <f t="shared" si="92"/>
        <v>5250</v>
      </c>
      <c r="I438" s="133">
        <f t="shared" si="93"/>
        <v>1.05</v>
      </c>
      <c r="J438" s="82">
        <v>1250</v>
      </c>
      <c r="K438" s="82"/>
      <c r="L438" s="82"/>
      <c r="M438" s="82"/>
      <c r="N438" s="82">
        <v>1250</v>
      </c>
      <c r="O438" s="82"/>
      <c r="P438" s="82"/>
      <c r="Q438" s="82">
        <v>1250</v>
      </c>
      <c r="R438" s="82"/>
      <c r="S438" s="23"/>
      <c r="T438" s="23">
        <v>1250</v>
      </c>
      <c r="U438" s="23">
        <v>250</v>
      </c>
      <c r="V438" s="7" t="s">
        <v>799</v>
      </c>
      <c r="W438" s="82">
        <f t="shared" si="94"/>
        <v>-250</v>
      </c>
      <c r="Y438" s="4"/>
      <c r="Z438" s="4"/>
      <c r="AA438" s="82"/>
      <c r="AB438" s="82"/>
      <c r="AC438" s="82"/>
      <c r="AE438" s="7" t="s">
        <v>475</v>
      </c>
      <c r="AH438" s="23">
        <f>SUM('2021 Detail'!J421:U421)+SUM('2021 Detail'!AA421)</f>
        <v>5000</v>
      </c>
      <c r="AJ438" s="23">
        <f t="shared" si="95"/>
        <v>250</v>
      </c>
      <c r="AL438" t="str">
        <f t="shared" si="96"/>
        <v>Up</v>
      </c>
    </row>
    <row r="439" spans="1:43" x14ac:dyDescent="0.2">
      <c r="A439" s="226" t="s">
        <v>319</v>
      </c>
      <c r="B439" s="9" t="s">
        <v>495</v>
      </c>
      <c r="C439" s="9" t="s">
        <v>495</v>
      </c>
      <c r="D439" s="9">
        <v>0</v>
      </c>
      <c r="E439" s="9"/>
      <c r="F439" s="9" t="s">
        <v>495</v>
      </c>
      <c r="G439" s="83">
        <v>11000</v>
      </c>
      <c r="H439" s="83">
        <f t="shared" si="92"/>
        <v>11000</v>
      </c>
      <c r="I439" s="133">
        <f t="shared" si="93"/>
        <v>1</v>
      </c>
      <c r="J439" s="82">
        <v>200</v>
      </c>
      <c r="K439" s="82">
        <v>200</v>
      </c>
      <c r="L439" s="82">
        <v>200</v>
      </c>
      <c r="M439" s="82">
        <v>200</v>
      </c>
      <c r="N439" s="82">
        <v>200</v>
      </c>
      <c r="O439" s="82">
        <v>200</v>
      </c>
      <c r="P439" s="82">
        <v>200</v>
      </c>
      <c r="Q439" s="82">
        <v>4200</v>
      </c>
      <c r="R439" s="82">
        <v>200</v>
      </c>
      <c r="S439" s="23">
        <v>200</v>
      </c>
      <c r="T439" s="23">
        <v>4800</v>
      </c>
      <c r="U439" s="23">
        <v>200</v>
      </c>
      <c r="V439" s="7" t="s">
        <v>800</v>
      </c>
      <c r="W439" s="82">
        <f t="shared" si="94"/>
        <v>0</v>
      </c>
      <c r="Y439" s="4"/>
      <c r="Z439" s="4"/>
      <c r="AA439" s="82"/>
      <c r="AB439" s="82"/>
      <c r="AC439" s="82"/>
      <c r="AE439" s="7" t="s">
        <v>475</v>
      </c>
      <c r="AH439" s="23">
        <f>SUM('2021 Detail'!J422:U422)+SUM('2021 Detail'!AA422)</f>
        <v>10500</v>
      </c>
      <c r="AJ439" s="23">
        <f t="shared" si="95"/>
        <v>500</v>
      </c>
      <c r="AL439" t="str">
        <f t="shared" si="96"/>
        <v>Up</v>
      </c>
      <c r="AQ439" s="23">
        <v>200</v>
      </c>
    </row>
    <row r="440" spans="1:43" x14ac:dyDescent="0.2">
      <c r="A440" s="226" t="s">
        <v>320</v>
      </c>
      <c r="B440" s="9" t="s">
        <v>495</v>
      </c>
      <c r="C440" s="9" t="s">
        <v>495</v>
      </c>
      <c r="D440" s="9" t="s">
        <v>495</v>
      </c>
      <c r="E440" s="9"/>
      <c r="F440" s="9" t="s">
        <v>495</v>
      </c>
      <c r="G440" s="83">
        <v>5500</v>
      </c>
      <c r="H440" s="83">
        <f t="shared" si="92"/>
        <v>5500</v>
      </c>
      <c r="I440" s="133">
        <f t="shared" si="93"/>
        <v>1</v>
      </c>
      <c r="J440" s="82">
        <v>416.74</v>
      </c>
      <c r="K440" s="82">
        <v>462.16</v>
      </c>
      <c r="L440" s="82">
        <v>462.11</v>
      </c>
      <c r="M440" s="82">
        <v>462.11</v>
      </c>
      <c r="N440" s="82">
        <v>462.11</v>
      </c>
      <c r="O440" s="82">
        <v>462.11</v>
      </c>
      <c r="P440" s="82">
        <v>462.11</v>
      </c>
      <c r="Q440" s="82">
        <v>462.11</v>
      </c>
      <c r="R440" s="82">
        <v>462.11</v>
      </c>
      <c r="S440" s="23">
        <v>462.11</v>
      </c>
      <c r="T440" s="23">
        <v>462.11</v>
      </c>
      <c r="U440" s="23">
        <v>462.11</v>
      </c>
      <c r="V440" s="7" t="s">
        <v>801</v>
      </c>
      <c r="W440" s="82">
        <f t="shared" si="94"/>
        <v>0</v>
      </c>
      <c r="Y440" s="4"/>
      <c r="Z440" s="4"/>
      <c r="AA440" s="82"/>
      <c r="AB440" s="82"/>
      <c r="AC440" s="82"/>
      <c r="AE440" s="7" t="s">
        <v>475</v>
      </c>
      <c r="AH440" s="23">
        <f>SUM('2021 Detail'!J423:U423)+SUM('2021 Detail'!AA423)</f>
        <v>4999.9999999999991</v>
      </c>
      <c r="AJ440" s="23">
        <f t="shared" si="95"/>
        <v>500.00000000000091</v>
      </c>
      <c r="AL440" t="str">
        <f t="shared" si="96"/>
        <v>Up</v>
      </c>
      <c r="AQ440" s="23">
        <v>416.66</v>
      </c>
    </row>
    <row r="441" spans="1:43" x14ac:dyDescent="0.2">
      <c r="A441" s="226" t="s">
        <v>321</v>
      </c>
      <c r="B441" s="9" t="s">
        <v>495</v>
      </c>
      <c r="C441" s="9" t="s">
        <v>495</v>
      </c>
      <c r="D441" s="9" t="s">
        <v>495</v>
      </c>
      <c r="E441" s="9"/>
      <c r="F441" s="9" t="s">
        <v>495</v>
      </c>
      <c r="G441" s="83">
        <v>9539</v>
      </c>
      <c r="H441" s="83">
        <f t="shared" si="92"/>
        <v>9539</v>
      </c>
      <c r="I441" s="133">
        <f t="shared" si="93"/>
        <v>1</v>
      </c>
      <c r="J441" s="82">
        <v>794.99</v>
      </c>
      <c r="K441" s="82">
        <v>794.91</v>
      </c>
      <c r="L441" s="82">
        <v>794.91</v>
      </c>
      <c r="M441" s="82">
        <v>794.91</v>
      </c>
      <c r="N441" s="82">
        <v>794.91</v>
      </c>
      <c r="O441" s="82">
        <v>794.91</v>
      </c>
      <c r="P441" s="82">
        <v>794.91</v>
      </c>
      <c r="Q441" s="82">
        <v>794.91</v>
      </c>
      <c r="R441" s="82">
        <v>794.91</v>
      </c>
      <c r="S441" s="23">
        <v>794.91</v>
      </c>
      <c r="T441" s="23">
        <v>794.91</v>
      </c>
      <c r="U441" s="23">
        <v>794.91</v>
      </c>
      <c r="V441" s="7" t="s">
        <v>802</v>
      </c>
      <c r="W441" s="82">
        <f t="shared" si="94"/>
        <v>0</v>
      </c>
      <c r="Y441" s="4"/>
      <c r="Z441" s="4"/>
      <c r="AA441" s="82"/>
      <c r="AB441" s="82"/>
      <c r="AC441" s="82"/>
      <c r="AE441" s="7" t="s">
        <v>472</v>
      </c>
      <c r="AH441" s="23">
        <f>SUM('2021 Detail'!J424:U424)+SUM('2021 Detail'!AA424)</f>
        <v>9539</v>
      </c>
      <c r="AJ441" s="23">
        <f t="shared" si="95"/>
        <v>0</v>
      </c>
      <c r="AL441" t="str">
        <f t="shared" si="96"/>
        <v>Same</v>
      </c>
      <c r="AQ441" s="23">
        <v>794.91</v>
      </c>
    </row>
    <row r="442" spans="1:43" x14ac:dyDescent="0.2">
      <c r="A442" s="226" t="s">
        <v>322</v>
      </c>
      <c r="B442" s="9" t="s">
        <v>495</v>
      </c>
      <c r="C442" s="9" t="s">
        <v>495</v>
      </c>
      <c r="D442" s="9" t="s">
        <v>495</v>
      </c>
      <c r="E442" s="9"/>
      <c r="F442" s="9">
        <v>0</v>
      </c>
      <c r="G442" s="83">
        <v>8049</v>
      </c>
      <c r="H442" s="83">
        <f t="shared" si="92"/>
        <v>6000</v>
      </c>
      <c r="I442" s="133">
        <f t="shared" si="93"/>
        <v>0.74539999999999995</v>
      </c>
      <c r="J442" s="82">
        <v>0</v>
      </c>
      <c r="K442" s="82">
        <v>1200</v>
      </c>
      <c r="L442" s="82"/>
      <c r="M442" s="82">
        <v>800</v>
      </c>
      <c r="N442" s="82"/>
      <c r="O442" s="82"/>
      <c r="P442" s="82"/>
      <c r="Q442" s="82">
        <v>2000</v>
      </c>
      <c r="R442" s="82"/>
      <c r="S442" s="23"/>
      <c r="T442" s="23"/>
      <c r="U442" s="23">
        <v>2000</v>
      </c>
      <c r="V442" s="7" t="s">
        <v>803</v>
      </c>
      <c r="W442" s="82">
        <f t="shared" si="94"/>
        <v>2049</v>
      </c>
      <c r="Y442" s="4"/>
      <c r="Z442" s="4"/>
      <c r="AA442" s="82"/>
      <c r="AB442" s="82"/>
      <c r="AC442" s="82"/>
      <c r="AE442" s="7" t="s">
        <v>472</v>
      </c>
      <c r="AH442" s="23">
        <f>SUM('2021 Detail'!J425:U425)+SUM('2021 Detail'!AA425)</f>
        <v>6688</v>
      </c>
      <c r="AJ442" s="23">
        <f t="shared" si="95"/>
        <v>-688</v>
      </c>
      <c r="AL442" t="str">
        <f t="shared" si="96"/>
        <v>Down</v>
      </c>
      <c r="AQ442" s="23">
        <v>2400</v>
      </c>
    </row>
    <row r="443" spans="1:43" x14ac:dyDescent="0.2">
      <c r="A443" s="226" t="s">
        <v>323</v>
      </c>
      <c r="B443" s="9" t="s">
        <v>495</v>
      </c>
      <c r="C443" s="9" t="s">
        <v>495</v>
      </c>
      <c r="D443" s="9" t="s">
        <v>495</v>
      </c>
      <c r="E443" s="9"/>
      <c r="F443" s="9" t="s">
        <v>495</v>
      </c>
      <c r="G443" s="83">
        <v>11391</v>
      </c>
      <c r="H443" s="83">
        <f t="shared" si="92"/>
        <v>11391</v>
      </c>
      <c r="I443" s="133">
        <f t="shared" si="93"/>
        <v>1</v>
      </c>
      <c r="J443" s="82">
        <v>949.25</v>
      </c>
      <c r="K443" s="82">
        <v>949.25</v>
      </c>
      <c r="L443" s="82">
        <v>949.25</v>
      </c>
      <c r="M443" s="82">
        <v>949.25</v>
      </c>
      <c r="N443" s="82">
        <v>949.25</v>
      </c>
      <c r="O443" s="82">
        <v>949.25</v>
      </c>
      <c r="P443" s="82">
        <v>949.25</v>
      </c>
      <c r="Q443" s="82">
        <v>949.25</v>
      </c>
      <c r="R443" s="82">
        <v>949.25</v>
      </c>
      <c r="S443" s="23">
        <v>949.25</v>
      </c>
      <c r="T443" s="23">
        <v>949.25</v>
      </c>
      <c r="U443" s="23">
        <v>949.25</v>
      </c>
      <c r="V443" s="7" t="s">
        <v>804</v>
      </c>
      <c r="W443" s="82">
        <f t="shared" si="94"/>
        <v>0</v>
      </c>
      <c r="Y443" s="4"/>
      <c r="Z443" s="4"/>
      <c r="AA443" s="82"/>
      <c r="AB443" s="82"/>
      <c r="AC443" s="82"/>
      <c r="AE443" s="7" t="s">
        <v>472</v>
      </c>
      <c r="AH443" s="23">
        <f>SUM('2021 Detail'!J426:U426)+SUM('2021 Detail'!AA426)</f>
        <v>11391</v>
      </c>
      <c r="AJ443" s="23">
        <f t="shared" si="95"/>
        <v>0</v>
      </c>
      <c r="AL443" t="str">
        <f t="shared" si="96"/>
        <v>Same</v>
      </c>
      <c r="AQ443" s="23">
        <v>949.25</v>
      </c>
    </row>
    <row r="444" spans="1:43" x14ac:dyDescent="0.2">
      <c r="A444" s="226" t="s">
        <v>324</v>
      </c>
      <c r="B444" s="9" t="s">
        <v>495</v>
      </c>
      <c r="C444" s="9" t="s">
        <v>495</v>
      </c>
      <c r="D444" s="9" t="s">
        <v>495</v>
      </c>
      <c r="E444" s="9"/>
      <c r="F444" s="9" t="s">
        <v>495</v>
      </c>
      <c r="G444" s="83">
        <v>2130</v>
      </c>
      <c r="H444" s="83">
        <f t="shared" si="92"/>
        <v>2130</v>
      </c>
      <c r="I444" s="133">
        <f t="shared" si="93"/>
        <v>1</v>
      </c>
      <c r="J444" s="82">
        <v>177.5</v>
      </c>
      <c r="K444" s="82">
        <v>177.5</v>
      </c>
      <c r="L444" s="82">
        <v>177.5</v>
      </c>
      <c r="M444" s="82">
        <v>177.5</v>
      </c>
      <c r="N444" s="82">
        <v>177.5</v>
      </c>
      <c r="O444" s="82">
        <v>177.5</v>
      </c>
      <c r="P444" s="82">
        <v>177.5</v>
      </c>
      <c r="Q444" s="82">
        <v>177.5</v>
      </c>
      <c r="R444" s="82">
        <v>177.5</v>
      </c>
      <c r="S444" s="23">
        <v>177.5</v>
      </c>
      <c r="T444" s="23">
        <v>177.5</v>
      </c>
      <c r="U444" s="23">
        <v>177.5</v>
      </c>
      <c r="V444" s="7" t="s">
        <v>805</v>
      </c>
      <c r="W444" s="82">
        <f t="shared" si="94"/>
        <v>0</v>
      </c>
      <c r="Y444" s="4"/>
      <c r="Z444" s="4"/>
      <c r="AA444" s="82"/>
      <c r="AB444" s="82"/>
      <c r="AC444" s="82"/>
      <c r="AE444" s="7" t="s">
        <v>472</v>
      </c>
      <c r="AH444" s="23">
        <f>SUM('2021 Detail'!J427:U427)+SUM('2021 Detail'!AA427)</f>
        <v>2130</v>
      </c>
      <c r="AJ444" s="23">
        <f t="shared" si="95"/>
        <v>0</v>
      </c>
      <c r="AL444" t="str">
        <f t="shared" si="96"/>
        <v>Same</v>
      </c>
      <c r="AQ444" s="23">
        <v>177.5</v>
      </c>
    </row>
    <row r="445" spans="1:43" x14ac:dyDescent="0.2">
      <c r="A445" s="226" t="s">
        <v>325</v>
      </c>
      <c r="B445" s="9" t="s">
        <v>495</v>
      </c>
      <c r="C445" s="9" t="s">
        <v>495</v>
      </c>
      <c r="D445" s="9" t="s">
        <v>495</v>
      </c>
      <c r="E445" s="9"/>
      <c r="F445" s="9" t="s">
        <v>495</v>
      </c>
      <c r="G445" s="83">
        <v>6000</v>
      </c>
      <c r="H445" s="83">
        <f t="shared" si="92"/>
        <v>6000.0000000000009</v>
      </c>
      <c r="I445" s="133">
        <f t="shared" si="93"/>
        <v>1</v>
      </c>
      <c r="J445" s="82">
        <v>416.74</v>
      </c>
      <c r="K445" s="82">
        <v>507.66</v>
      </c>
      <c r="L445" s="82">
        <v>507.56</v>
      </c>
      <c r="M445" s="82">
        <v>507.56</v>
      </c>
      <c r="N445" s="82">
        <v>507.56</v>
      </c>
      <c r="O445" s="82">
        <v>507.56</v>
      </c>
      <c r="P445" s="82">
        <v>507.56</v>
      </c>
      <c r="Q445" s="82">
        <v>507.56</v>
      </c>
      <c r="R445" s="82">
        <v>507.56</v>
      </c>
      <c r="S445" s="23">
        <v>507.56</v>
      </c>
      <c r="T445" s="23">
        <v>507.56</v>
      </c>
      <c r="U445" s="23">
        <v>507.56</v>
      </c>
      <c r="V445" s="7" t="s">
        <v>806</v>
      </c>
      <c r="W445" s="82">
        <f t="shared" si="94"/>
        <v>0</v>
      </c>
      <c r="Y445" s="4"/>
      <c r="Z445" s="4"/>
      <c r="AA445" s="82"/>
      <c r="AB445" s="82"/>
      <c r="AC445" s="82"/>
      <c r="AE445" s="7" t="s">
        <v>475</v>
      </c>
      <c r="AH445" s="23">
        <f>SUM('2021 Detail'!J428:U428)+SUM('2021 Detail'!AA428)</f>
        <v>6499.9999999999991</v>
      </c>
      <c r="AJ445" s="23">
        <f t="shared" si="95"/>
        <v>-499.99999999999818</v>
      </c>
      <c r="AL445" t="str">
        <f t="shared" si="96"/>
        <v>Down</v>
      </c>
      <c r="AQ445" s="23">
        <v>630.95000000000005</v>
      </c>
    </row>
    <row r="446" spans="1:43" x14ac:dyDescent="0.2">
      <c r="A446" s="226" t="s">
        <v>326</v>
      </c>
      <c r="B446" s="9" t="s">
        <v>495</v>
      </c>
      <c r="C446" s="9" t="s">
        <v>495</v>
      </c>
      <c r="D446" s="9" t="s">
        <v>495</v>
      </c>
      <c r="E446" s="9"/>
      <c r="F446" s="9" t="s">
        <v>495</v>
      </c>
      <c r="G446" s="83">
        <v>37000</v>
      </c>
      <c r="H446" s="83">
        <f t="shared" si="92"/>
        <v>37000.000000000007</v>
      </c>
      <c r="I446" s="133">
        <f t="shared" si="93"/>
        <v>1</v>
      </c>
      <c r="J446" s="82">
        <v>3083.37</v>
      </c>
      <c r="K446" s="82">
        <v>3083.33</v>
      </c>
      <c r="L446" s="82">
        <v>3083.33</v>
      </c>
      <c r="M446" s="82">
        <v>3083.33</v>
      </c>
      <c r="N446" s="82">
        <v>3083.33</v>
      </c>
      <c r="O446" s="82">
        <v>3083.33</v>
      </c>
      <c r="P446" s="82">
        <v>3083.33</v>
      </c>
      <c r="Q446" s="82">
        <v>3083.33</v>
      </c>
      <c r="R446" s="82">
        <v>3083.33</v>
      </c>
      <c r="S446" s="23">
        <v>3083.33</v>
      </c>
      <c r="T446" s="23">
        <v>3083.33</v>
      </c>
      <c r="U446" s="23">
        <v>3083.33</v>
      </c>
      <c r="V446" s="7" t="s">
        <v>807</v>
      </c>
      <c r="W446" s="82">
        <f t="shared" si="94"/>
        <v>0</v>
      </c>
      <c r="Y446" s="4"/>
      <c r="Z446" s="4"/>
      <c r="AA446" s="82"/>
      <c r="AB446" s="82"/>
      <c r="AC446" s="82"/>
      <c r="AE446" s="7" t="s">
        <v>475</v>
      </c>
      <c r="AH446" s="23">
        <f>SUM('2021 Detail'!J429:U429)+SUM('2021 Detail'!AA429)</f>
        <v>37000</v>
      </c>
      <c r="AJ446" s="23">
        <f t="shared" si="95"/>
        <v>0</v>
      </c>
      <c r="AL446" t="str">
        <f t="shared" si="96"/>
        <v>Same</v>
      </c>
      <c r="AQ446" s="23">
        <v>3316.66</v>
      </c>
    </row>
    <row r="447" spans="1:43" x14ac:dyDescent="0.2">
      <c r="A447" s="226" t="s">
        <v>327</v>
      </c>
      <c r="B447" s="9" t="s">
        <v>495</v>
      </c>
      <c r="C447" s="9">
        <v>0</v>
      </c>
      <c r="D447" s="9">
        <v>0</v>
      </c>
      <c r="E447" s="9"/>
      <c r="F447" s="9" t="s">
        <v>495</v>
      </c>
      <c r="G447" s="83">
        <v>10000</v>
      </c>
      <c r="H447" s="83">
        <f t="shared" si="92"/>
        <v>10000.000000000002</v>
      </c>
      <c r="I447" s="133">
        <f t="shared" si="93"/>
        <v>1</v>
      </c>
      <c r="J447" s="82">
        <v>833.33</v>
      </c>
      <c r="K447" s="82">
        <v>833.33</v>
      </c>
      <c r="L447" s="82">
        <v>833.33</v>
      </c>
      <c r="M447" s="82">
        <v>833.33</v>
      </c>
      <c r="N447" s="82">
        <v>833.33</v>
      </c>
      <c r="O447" s="82">
        <v>833.33</v>
      </c>
      <c r="P447" s="82">
        <v>833.33</v>
      </c>
      <c r="Q447" s="82">
        <v>833.33</v>
      </c>
      <c r="R447" s="82">
        <v>833.33</v>
      </c>
      <c r="S447" s="23">
        <v>833.33</v>
      </c>
      <c r="T447" s="23">
        <v>833.33</v>
      </c>
      <c r="U447" s="23">
        <v>833.37</v>
      </c>
      <c r="V447" s="7" t="s">
        <v>808</v>
      </c>
      <c r="W447" s="82">
        <f t="shared" si="94"/>
        <v>0</v>
      </c>
      <c r="Y447" s="4"/>
      <c r="Z447" s="4"/>
      <c r="AA447" s="82"/>
      <c r="AB447" s="82"/>
      <c r="AC447" s="82"/>
      <c r="AE447" s="7" t="s">
        <v>475</v>
      </c>
      <c r="AH447" s="23">
        <f>SUM('2021 Detail'!J430:U430)+SUM('2021 Detail'!AA430)</f>
        <v>10550</v>
      </c>
      <c r="AJ447" s="23">
        <f t="shared" si="95"/>
        <v>-549.99999999999818</v>
      </c>
      <c r="AL447" t="str">
        <f t="shared" si="96"/>
        <v>Down</v>
      </c>
      <c r="AQ447" s="23">
        <v>833.37</v>
      </c>
    </row>
    <row r="448" spans="1:43" x14ac:dyDescent="0.2">
      <c r="A448" s="226" t="s">
        <v>328</v>
      </c>
      <c r="B448" s="9" t="s">
        <v>495</v>
      </c>
      <c r="C448" s="9" t="s">
        <v>495</v>
      </c>
      <c r="D448" s="9">
        <v>0</v>
      </c>
      <c r="E448" s="9"/>
      <c r="F448" s="9" t="s">
        <v>495</v>
      </c>
      <c r="G448" s="83">
        <v>69033</v>
      </c>
      <c r="H448" s="83">
        <f t="shared" si="92"/>
        <v>69033</v>
      </c>
      <c r="I448" s="133">
        <f t="shared" si="93"/>
        <v>1</v>
      </c>
      <c r="J448" s="82">
        <v>5752.75</v>
      </c>
      <c r="K448" s="82">
        <v>5752.75</v>
      </c>
      <c r="L448" s="82">
        <v>5752.75</v>
      </c>
      <c r="M448" s="82">
        <v>5752.75</v>
      </c>
      <c r="N448" s="82">
        <v>5752.75</v>
      </c>
      <c r="O448" s="82">
        <v>5752.75</v>
      </c>
      <c r="P448" s="82">
        <v>5752.75</v>
      </c>
      <c r="Q448" s="82">
        <v>5752.75</v>
      </c>
      <c r="R448" s="82">
        <v>5752.75</v>
      </c>
      <c r="S448" s="23">
        <v>5752.75</v>
      </c>
      <c r="T448" s="23">
        <v>5752.75</v>
      </c>
      <c r="U448" s="23">
        <v>5752.75</v>
      </c>
      <c r="V448" s="7" t="s">
        <v>809</v>
      </c>
      <c r="W448" s="82">
        <f t="shared" si="94"/>
        <v>0</v>
      </c>
      <c r="Y448" s="4"/>
      <c r="Z448" s="4"/>
      <c r="AA448" s="82"/>
      <c r="AB448" s="82"/>
      <c r="AC448" s="82"/>
      <c r="AE448" s="7" t="s">
        <v>476</v>
      </c>
      <c r="AH448" s="23">
        <f>SUM('2021 Detail'!J431:U431)+SUM('2021 Detail'!AA431)</f>
        <v>69033</v>
      </c>
      <c r="AJ448" s="23">
        <f t="shared" si="95"/>
        <v>0</v>
      </c>
      <c r="AL448" t="str">
        <f t="shared" si="96"/>
        <v>Same</v>
      </c>
      <c r="AQ448" s="23">
        <v>5752.75</v>
      </c>
    </row>
    <row r="449" spans="1:48" x14ac:dyDescent="0.2">
      <c r="A449" s="226" t="s">
        <v>329</v>
      </c>
      <c r="B449" s="9" t="s">
        <v>495</v>
      </c>
      <c r="C449" s="9" t="s">
        <v>495</v>
      </c>
      <c r="D449" s="9" t="s">
        <v>495</v>
      </c>
      <c r="E449" s="9"/>
      <c r="F449" s="9">
        <v>0</v>
      </c>
      <c r="G449" s="83">
        <v>7671</v>
      </c>
      <c r="H449" s="83">
        <f t="shared" si="92"/>
        <v>7671</v>
      </c>
      <c r="I449" s="133">
        <f t="shared" si="93"/>
        <v>1</v>
      </c>
      <c r="J449" s="82">
        <v>0</v>
      </c>
      <c r="K449" s="82"/>
      <c r="L449" s="82">
        <v>2000</v>
      </c>
      <c r="M449" s="82"/>
      <c r="N449" s="82"/>
      <c r="O449" s="82">
        <v>2000</v>
      </c>
      <c r="P449" s="82"/>
      <c r="Q449" s="82"/>
      <c r="R449" s="82"/>
      <c r="S449" s="23"/>
      <c r="T449" s="23">
        <v>2000</v>
      </c>
      <c r="U449" s="23"/>
      <c r="V449" s="7" t="s">
        <v>810</v>
      </c>
      <c r="W449" s="82">
        <f t="shared" si="94"/>
        <v>0</v>
      </c>
      <c r="Y449" s="4"/>
      <c r="Z449" s="4"/>
      <c r="AA449" s="82"/>
      <c r="AB449" s="82">
        <v>1671</v>
      </c>
      <c r="AC449" s="82"/>
      <c r="AE449" s="7" t="s">
        <v>476</v>
      </c>
      <c r="AH449" s="23">
        <f>SUM('2021 Detail'!J432:U432)+SUM('2021 Detail'!AA432)</f>
        <v>4500</v>
      </c>
      <c r="AJ449" s="23">
        <f t="shared" si="95"/>
        <v>3171</v>
      </c>
      <c r="AL449" t="str">
        <f t="shared" si="96"/>
        <v>Up</v>
      </c>
      <c r="AQ449" s="23">
        <v>1500</v>
      </c>
    </row>
    <row r="450" spans="1:48" x14ac:dyDescent="0.2">
      <c r="A450" s="226" t="s">
        <v>330</v>
      </c>
      <c r="B450" s="9" t="s">
        <v>495</v>
      </c>
      <c r="C450" s="9" t="s">
        <v>495</v>
      </c>
      <c r="D450" s="9" t="s">
        <v>495</v>
      </c>
      <c r="E450" s="9"/>
      <c r="F450" s="9" t="s">
        <v>495</v>
      </c>
      <c r="G450" s="83">
        <v>8267</v>
      </c>
      <c r="H450" s="83">
        <f t="shared" si="92"/>
        <v>8267</v>
      </c>
      <c r="I450" s="133">
        <f t="shared" si="93"/>
        <v>1</v>
      </c>
      <c r="J450" s="82">
        <v>0</v>
      </c>
      <c r="K450" s="82"/>
      <c r="L450" s="82"/>
      <c r="M450" s="82"/>
      <c r="N450" s="82"/>
      <c r="O450" s="82"/>
      <c r="P450" s="82">
        <v>4133.5</v>
      </c>
      <c r="Q450" s="82"/>
      <c r="R450" s="82"/>
      <c r="S450" s="23">
        <v>2066.75</v>
      </c>
      <c r="T450" s="23">
        <v>2066.75</v>
      </c>
      <c r="U450" s="23"/>
      <c r="V450" s="7" t="s">
        <v>811</v>
      </c>
      <c r="W450" s="82">
        <f t="shared" si="94"/>
        <v>0</v>
      </c>
      <c r="Y450" s="4"/>
      <c r="Z450" s="4"/>
      <c r="AA450" s="82"/>
      <c r="AB450" s="82"/>
      <c r="AC450" s="82"/>
      <c r="AE450" s="7" t="s">
        <v>474</v>
      </c>
      <c r="AH450" s="23">
        <f>SUM('2021 Detail'!J433:U433)+SUM('2021 Detail'!AA433)</f>
        <v>6827.2199999999993</v>
      </c>
      <c r="AJ450" s="23">
        <f t="shared" si="95"/>
        <v>1439.7800000000007</v>
      </c>
      <c r="AL450" t="str">
        <f t="shared" si="96"/>
        <v>Up</v>
      </c>
      <c r="AQ450" s="23">
        <v>2275.7399999999998</v>
      </c>
    </row>
    <row r="451" spans="1:48" x14ac:dyDescent="0.2">
      <c r="A451" s="226" t="s">
        <v>331</v>
      </c>
      <c r="B451" s="9" t="s">
        <v>495</v>
      </c>
      <c r="C451" s="9" t="s">
        <v>495</v>
      </c>
      <c r="D451" s="9">
        <v>0</v>
      </c>
      <c r="E451" s="9"/>
      <c r="F451" s="9" t="s">
        <v>495</v>
      </c>
      <c r="G451" s="83">
        <v>11380</v>
      </c>
      <c r="H451" s="83">
        <f t="shared" si="92"/>
        <v>11380</v>
      </c>
      <c r="I451" s="133">
        <f t="shared" si="93"/>
        <v>1</v>
      </c>
      <c r="J451" s="82">
        <v>948.37</v>
      </c>
      <c r="K451" s="82">
        <v>948.33</v>
      </c>
      <c r="L451" s="82">
        <v>948.33</v>
      </c>
      <c r="M451" s="82">
        <v>948.33</v>
      </c>
      <c r="N451" s="82">
        <v>948.33</v>
      </c>
      <c r="O451" s="82">
        <v>948.33</v>
      </c>
      <c r="P451" s="82">
        <v>948.33</v>
      </c>
      <c r="Q451" s="82">
        <v>948.33</v>
      </c>
      <c r="R451" s="82">
        <v>948.33</v>
      </c>
      <c r="S451" s="23">
        <v>948.33</v>
      </c>
      <c r="T451" s="23">
        <v>948.33</v>
      </c>
      <c r="U451" s="23">
        <v>948.33</v>
      </c>
      <c r="V451" s="7" t="s">
        <v>812</v>
      </c>
      <c r="W451" s="82">
        <f t="shared" si="94"/>
        <v>0</v>
      </c>
      <c r="Y451" s="4"/>
      <c r="Z451" s="4"/>
      <c r="AA451" s="82"/>
      <c r="AB451" s="82"/>
      <c r="AC451" s="82"/>
      <c r="AE451" s="7" t="s">
        <v>477</v>
      </c>
      <c r="AH451" s="23">
        <f>SUM('2021 Detail'!J434:U434)+SUM('2021 Detail'!AA434)</f>
        <v>11276</v>
      </c>
      <c r="AJ451" s="23">
        <f t="shared" si="95"/>
        <v>104</v>
      </c>
      <c r="AL451" t="str">
        <f t="shared" si="96"/>
        <v>Up</v>
      </c>
      <c r="AQ451" s="23">
        <v>939.66</v>
      </c>
    </row>
    <row r="452" spans="1:48" x14ac:dyDescent="0.2">
      <c r="A452" s="226" t="s">
        <v>332</v>
      </c>
      <c r="B452" s="9" t="s">
        <v>495</v>
      </c>
      <c r="C452" s="9" t="s">
        <v>495</v>
      </c>
      <c r="D452" s="9" t="s">
        <v>495</v>
      </c>
      <c r="E452" s="9"/>
      <c r="F452" s="9" t="s">
        <v>495</v>
      </c>
      <c r="G452" s="83">
        <v>9037</v>
      </c>
      <c r="H452" s="83">
        <f t="shared" si="92"/>
        <v>9037</v>
      </c>
      <c r="I452" s="133">
        <f t="shared" si="93"/>
        <v>1</v>
      </c>
      <c r="J452" s="82">
        <v>753.12</v>
      </c>
      <c r="K452" s="82">
        <v>753.08</v>
      </c>
      <c r="L452" s="82">
        <v>753.08</v>
      </c>
      <c r="M452" s="82">
        <v>753.08</v>
      </c>
      <c r="N452" s="82">
        <v>753.08</v>
      </c>
      <c r="O452" s="82">
        <v>753.08</v>
      </c>
      <c r="P452" s="82">
        <v>753.08</v>
      </c>
      <c r="Q452" s="82">
        <v>753.08</v>
      </c>
      <c r="R452" s="82">
        <v>753.08</v>
      </c>
      <c r="S452" s="23">
        <v>753.08</v>
      </c>
      <c r="T452" s="23">
        <v>753.08</v>
      </c>
      <c r="U452" s="23">
        <v>753.08</v>
      </c>
      <c r="V452" s="7" t="s">
        <v>813</v>
      </c>
      <c r="W452" s="82">
        <f t="shared" si="94"/>
        <v>0</v>
      </c>
      <c r="Y452" s="4"/>
      <c r="Z452" s="4"/>
      <c r="AA452" s="82"/>
      <c r="AB452" s="82"/>
      <c r="AC452" s="82"/>
      <c r="AE452" s="7" t="s">
        <v>477</v>
      </c>
      <c r="AH452" s="23">
        <f>SUM('2021 Detail'!J435:U435)+SUM('2021 Detail'!AA435)</f>
        <v>9009</v>
      </c>
      <c r="AJ452" s="23">
        <f t="shared" si="95"/>
        <v>28</v>
      </c>
      <c r="AL452" t="str">
        <f t="shared" si="96"/>
        <v>Up</v>
      </c>
      <c r="AQ452" s="23">
        <v>750.75</v>
      </c>
    </row>
    <row r="453" spans="1:48" s="6" customFormat="1" x14ac:dyDescent="0.2">
      <c r="A453" s="226" t="s">
        <v>333</v>
      </c>
      <c r="B453" s="9" t="s">
        <v>495</v>
      </c>
      <c r="C453" s="9">
        <v>0</v>
      </c>
      <c r="D453" s="9">
        <v>0</v>
      </c>
      <c r="E453" s="9"/>
      <c r="F453" s="9" t="s">
        <v>495</v>
      </c>
      <c r="G453" s="83">
        <v>2319</v>
      </c>
      <c r="H453" s="83">
        <f t="shared" si="92"/>
        <v>2319</v>
      </c>
      <c r="I453" s="133">
        <f t="shared" si="93"/>
        <v>1</v>
      </c>
      <c r="J453" s="82">
        <v>193.25</v>
      </c>
      <c r="K453" s="82">
        <v>193.25</v>
      </c>
      <c r="L453" s="82">
        <v>193.25</v>
      </c>
      <c r="M453" s="82">
        <v>193.25</v>
      </c>
      <c r="N453" s="82">
        <v>193.25</v>
      </c>
      <c r="O453" s="82">
        <v>193.25</v>
      </c>
      <c r="P453" s="82">
        <v>193.25</v>
      </c>
      <c r="Q453" s="82">
        <v>193.25</v>
      </c>
      <c r="R453" s="82">
        <v>193.25</v>
      </c>
      <c r="S453" s="23">
        <v>193.25</v>
      </c>
      <c r="T453" s="23">
        <v>193.25</v>
      </c>
      <c r="U453" s="23">
        <v>193.25</v>
      </c>
      <c r="V453" s="7" t="s">
        <v>814</v>
      </c>
      <c r="W453" s="82">
        <f t="shared" si="94"/>
        <v>0</v>
      </c>
      <c r="X453" s="7"/>
      <c r="Y453" s="4"/>
      <c r="Z453" s="4"/>
      <c r="AA453" s="82"/>
      <c r="AB453" s="82"/>
      <c r="AC453" s="82"/>
      <c r="AE453" s="10" t="s">
        <v>477</v>
      </c>
      <c r="AH453" s="23">
        <f>SUM('2021 Detail'!J436:U436)+SUM('2021 Detail'!AA436)</f>
        <v>2455</v>
      </c>
      <c r="AJ453" s="23">
        <f t="shared" si="95"/>
        <v>-136</v>
      </c>
      <c r="AL453" t="str">
        <f t="shared" si="96"/>
        <v>Down</v>
      </c>
      <c r="AQ453" s="23">
        <v>204.58</v>
      </c>
      <c r="AV453" s="11"/>
    </row>
    <row r="454" spans="1:48" s="6" customFormat="1" x14ac:dyDescent="0.2">
      <c r="A454" s="226" t="s">
        <v>334</v>
      </c>
      <c r="B454" s="9" t="s">
        <v>495</v>
      </c>
      <c r="C454" s="9" t="s">
        <v>495</v>
      </c>
      <c r="D454" s="9">
        <v>0</v>
      </c>
      <c r="E454" s="9"/>
      <c r="F454" s="9">
        <v>0</v>
      </c>
      <c r="G454" s="83">
        <v>2355</v>
      </c>
      <c r="H454" s="83">
        <f t="shared" si="92"/>
        <v>2355.0500000000002</v>
      </c>
      <c r="I454" s="133">
        <f t="shared" si="93"/>
        <v>1</v>
      </c>
      <c r="J454" s="82">
        <v>0</v>
      </c>
      <c r="K454" s="82"/>
      <c r="L454" s="82"/>
      <c r="M454" s="82"/>
      <c r="N454" s="82"/>
      <c r="O454" s="82">
        <v>1155.05</v>
      </c>
      <c r="P454" s="82">
        <v>200</v>
      </c>
      <c r="Q454" s="82">
        <v>200</v>
      </c>
      <c r="R454" s="82">
        <v>200</v>
      </c>
      <c r="S454" s="23"/>
      <c r="T454" s="23">
        <v>400</v>
      </c>
      <c r="U454" s="23">
        <v>200</v>
      </c>
      <c r="V454" s="7" t="s">
        <v>815</v>
      </c>
      <c r="W454" s="82">
        <f t="shared" si="94"/>
        <v>-0.05</v>
      </c>
      <c r="X454" s="7"/>
      <c r="Y454" s="4"/>
      <c r="Z454" s="4"/>
      <c r="AA454" s="82"/>
      <c r="AB454" s="82"/>
      <c r="AC454" s="82"/>
      <c r="AE454" s="10" t="s">
        <v>477</v>
      </c>
      <c r="AH454" s="23">
        <f>SUM('2021 Detail'!J437:U437)+SUM('2021 Detail'!AA437)</f>
        <v>2320.41</v>
      </c>
      <c r="AJ454" s="23">
        <f t="shared" si="95"/>
        <v>34.640000000000327</v>
      </c>
      <c r="AL454" t="str">
        <f t="shared" si="96"/>
        <v>Up</v>
      </c>
      <c r="AQ454" s="23">
        <v>193</v>
      </c>
      <c r="AV454" s="11"/>
    </row>
    <row r="455" spans="1:48" s="6" customFormat="1" x14ac:dyDescent="0.2">
      <c r="A455" s="226" t="s">
        <v>375</v>
      </c>
      <c r="B455" s="9" t="s">
        <v>495</v>
      </c>
      <c r="C455" s="9" t="s">
        <v>495</v>
      </c>
      <c r="D455" s="9" t="s">
        <v>495</v>
      </c>
      <c r="E455" s="9"/>
      <c r="F455" s="9" t="s">
        <v>495</v>
      </c>
      <c r="G455" s="83">
        <v>18865</v>
      </c>
      <c r="H455" s="83">
        <f t="shared" si="92"/>
        <v>18865</v>
      </c>
      <c r="I455" s="133">
        <f t="shared" si="93"/>
        <v>1</v>
      </c>
      <c r="J455" s="82">
        <v>1572.12</v>
      </c>
      <c r="K455" s="82">
        <v>1572.08</v>
      </c>
      <c r="L455" s="82">
        <v>1572.08</v>
      </c>
      <c r="M455" s="82">
        <v>1572.08</v>
      </c>
      <c r="N455" s="82">
        <v>1572.08</v>
      </c>
      <c r="O455" s="82">
        <v>1572.08</v>
      </c>
      <c r="P455" s="82">
        <v>1572.08</v>
      </c>
      <c r="Q455" s="82">
        <v>1572.08</v>
      </c>
      <c r="R455" s="82">
        <v>1572.08</v>
      </c>
      <c r="S455" s="23">
        <v>1572.08</v>
      </c>
      <c r="T455" s="23">
        <v>1572.08</v>
      </c>
      <c r="U455" s="23">
        <v>1572.08</v>
      </c>
      <c r="V455" s="7" t="s">
        <v>816</v>
      </c>
      <c r="W455" s="82">
        <f t="shared" si="94"/>
        <v>0</v>
      </c>
      <c r="X455" s="7"/>
      <c r="Y455" s="4"/>
      <c r="Z455" s="4"/>
      <c r="AA455" s="82"/>
      <c r="AB455" s="82"/>
      <c r="AC455" s="82"/>
      <c r="AE455" s="10" t="s">
        <v>478</v>
      </c>
      <c r="AH455" s="23">
        <f>SUM('2021 Detail'!J438:U438)+SUM('2021 Detail'!AA438)</f>
        <v>18865</v>
      </c>
      <c r="AJ455" s="23">
        <f t="shared" si="95"/>
        <v>0</v>
      </c>
      <c r="AL455" t="str">
        <f t="shared" si="96"/>
        <v>Same</v>
      </c>
      <c r="AQ455" s="23">
        <v>1572.08</v>
      </c>
      <c r="AV455" s="11"/>
    </row>
    <row r="456" spans="1:48" s="6" customFormat="1" x14ac:dyDescent="0.2">
      <c r="A456" s="226" t="s">
        <v>335</v>
      </c>
      <c r="B456" s="9" t="s">
        <v>495</v>
      </c>
      <c r="C456" s="9" t="s">
        <v>495</v>
      </c>
      <c r="D456" s="9" t="s">
        <v>495</v>
      </c>
      <c r="E456" s="9"/>
      <c r="F456" s="9">
        <v>0</v>
      </c>
      <c r="G456" s="83">
        <v>7074</v>
      </c>
      <c r="H456" s="83">
        <f t="shared" si="92"/>
        <v>4000</v>
      </c>
      <c r="I456" s="133">
        <f t="shared" si="93"/>
        <v>0.5655</v>
      </c>
      <c r="J456" s="82">
        <v>0</v>
      </c>
      <c r="K456" s="82"/>
      <c r="L456" s="82"/>
      <c r="M456" s="82"/>
      <c r="N456" s="82"/>
      <c r="O456" s="82">
        <v>3000</v>
      </c>
      <c r="P456" s="82"/>
      <c r="Q456" s="82"/>
      <c r="R456" s="82"/>
      <c r="S456" s="23">
        <v>1000</v>
      </c>
      <c r="T456" s="23"/>
      <c r="U456" s="23"/>
      <c r="V456" s="7" t="s">
        <v>817</v>
      </c>
      <c r="W456" s="82">
        <f t="shared" si="94"/>
        <v>3074</v>
      </c>
      <c r="X456" s="7"/>
      <c r="Y456" s="4"/>
      <c r="Z456" s="4"/>
      <c r="AA456" s="82"/>
      <c r="AB456" s="82"/>
      <c r="AC456" s="82"/>
      <c r="AE456" s="10" t="s">
        <v>478</v>
      </c>
      <c r="AH456" s="23">
        <f>SUM('2021 Detail'!J439:U439)+SUM('2021 Detail'!AA439)</f>
        <v>3000</v>
      </c>
      <c r="AJ456" s="23">
        <f t="shared" si="95"/>
        <v>1000</v>
      </c>
      <c r="AL456" t="str">
        <f t="shared" si="96"/>
        <v>Up</v>
      </c>
      <c r="AQ456" s="23">
        <v>1000</v>
      </c>
      <c r="AV456" s="11"/>
    </row>
    <row r="457" spans="1:48" s="6" customFormat="1" x14ac:dyDescent="0.2">
      <c r="A457" s="226" t="s">
        <v>336</v>
      </c>
      <c r="B457" s="9">
        <v>0</v>
      </c>
      <c r="C457" s="9" t="s">
        <v>495</v>
      </c>
      <c r="D457" s="9" t="s">
        <v>495</v>
      </c>
      <c r="E457" s="9"/>
      <c r="F457" s="9">
        <v>0</v>
      </c>
      <c r="G457" s="83">
        <v>3537</v>
      </c>
      <c r="H457" s="83">
        <f t="shared" si="92"/>
        <v>3537</v>
      </c>
      <c r="I457" s="133">
        <f t="shared" si="93"/>
        <v>1</v>
      </c>
      <c r="J457" s="82">
        <v>63</v>
      </c>
      <c r="K457" s="82"/>
      <c r="L457" s="82"/>
      <c r="M457" s="82"/>
      <c r="N457" s="82">
        <v>3474</v>
      </c>
      <c r="O457" s="82"/>
      <c r="P457" s="82"/>
      <c r="Q457" s="82"/>
      <c r="R457" s="82"/>
      <c r="S457" s="23"/>
      <c r="T457" s="23"/>
      <c r="U457" s="23"/>
      <c r="V457" s="7" t="s">
        <v>818</v>
      </c>
      <c r="W457" s="82">
        <f t="shared" si="94"/>
        <v>0</v>
      </c>
      <c r="X457" s="7"/>
      <c r="Y457" s="4"/>
      <c r="Z457" s="4"/>
      <c r="AA457" s="82"/>
      <c r="AB457" s="82"/>
      <c r="AC457" s="82"/>
      <c r="AE457" s="10" t="s">
        <v>478</v>
      </c>
      <c r="AH457" s="23">
        <f>SUM('2021 Detail'!J440:U440)+SUM('2021 Detail'!AA440)</f>
        <v>3537</v>
      </c>
      <c r="AJ457" s="23">
        <f t="shared" si="95"/>
        <v>0</v>
      </c>
      <c r="AL457" t="str">
        <f t="shared" si="96"/>
        <v>Same</v>
      </c>
      <c r="AQ457" s="23"/>
      <c r="AR457" s="6" t="s">
        <v>1111</v>
      </c>
      <c r="AV457" s="11"/>
    </row>
    <row r="458" spans="1:48" s="6" customFormat="1" x14ac:dyDescent="0.2">
      <c r="A458" s="226" t="s">
        <v>337</v>
      </c>
      <c r="B458" s="9">
        <v>0</v>
      </c>
      <c r="C458" s="9" t="s">
        <v>495</v>
      </c>
      <c r="D458" s="9" t="s">
        <v>495</v>
      </c>
      <c r="E458" s="9"/>
      <c r="F458" s="9">
        <v>0</v>
      </c>
      <c r="G458" s="83">
        <v>27666</v>
      </c>
      <c r="H458" s="83">
        <f t="shared" si="92"/>
        <v>28310</v>
      </c>
      <c r="I458" s="133">
        <f t="shared" si="93"/>
        <v>1.0233000000000001</v>
      </c>
      <c r="J458" s="82">
        <v>2766</v>
      </c>
      <c r="K458" s="82">
        <v>2766</v>
      </c>
      <c r="L458" s="82">
        <v>2766</v>
      </c>
      <c r="M458" s="82">
        <v>2766</v>
      </c>
      <c r="N458" s="82">
        <v>2766</v>
      </c>
      <c r="O458" s="82">
        <v>2766</v>
      </c>
      <c r="P458" s="82">
        <v>2766</v>
      </c>
      <c r="Q458" s="82">
        <v>2766</v>
      </c>
      <c r="R458" s="82">
        <v>2766</v>
      </c>
      <c r="S458" s="23">
        <v>2766</v>
      </c>
      <c r="T458" s="23"/>
      <c r="U458" s="23">
        <v>650</v>
      </c>
      <c r="V458" s="7" t="s">
        <v>819</v>
      </c>
      <c r="W458" s="82">
        <f t="shared" si="94"/>
        <v>-644</v>
      </c>
      <c r="X458" s="7"/>
      <c r="Y458" s="4"/>
      <c r="Z458" s="4"/>
      <c r="AA458" s="82"/>
      <c r="AB458" s="82"/>
      <c r="AC458" s="82"/>
      <c r="AE458" s="10" t="s">
        <v>479</v>
      </c>
      <c r="AH458" s="23">
        <f>SUM('2021 Detail'!J441:U441)+SUM('2021 Detail'!AA441)</f>
        <v>27665</v>
      </c>
      <c r="AJ458" s="23">
        <f t="shared" si="95"/>
        <v>645</v>
      </c>
      <c r="AL458" t="str">
        <f t="shared" si="96"/>
        <v>Up</v>
      </c>
      <c r="AQ458" s="23"/>
      <c r="AV458" s="11"/>
    </row>
    <row r="459" spans="1:48" s="6" customFormat="1" x14ac:dyDescent="0.2">
      <c r="A459" s="226" t="s">
        <v>338</v>
      </c>
      <c r="B459" s="9">
        <v>0</v>
      </c>
      <c r="C459" s="9">
        <v>0</v>
      </c>
      <c r="D459" s="9" t="s">
        <v>495</v>
      </c>
      <c r="E459" s="9"/>
      <c r="F459" s="9">
        <v>0</v>
      </c>
      <c r="G459" s="83">
        <v>10300</v>
      </c>
      <c r="H459" s="83">
        <f t="shared" si="92"/>
        <v>10300</v>
      </c>
      <c r="I459" s="133">
        <f t="shared" si="93"/>
        <v>1</v>
      </c>
      <c r="J459" s="82">
        <v>0</v>
      </c>
      <c r="K459" s="82"/>
      <c r="L459" s="82"/>
      <c r="M459" s="82"/>
      <c r="N459" s="82"/>
      <c r="O459" s="82"/>
      <c r="P459" s="82"/>
      <c r="Q459" s="82"/>
      <c r="R459" s="82"/>
      <c r="S459" s="23">
        <v>10300</v>
      </c>
      <c r="T459" s="23"/>
      <c r="U459" s="23"/>
      <c r="V459" s="7" t="s">
        <v>820</v>
      </c>
      <c r="W459" s="82">
        <f t="shared" si="94"/>
        <v>0</v>
      </c>
      <c r="X459" s="7"/>
      <c r="Y459" s="4"/>
      <c r="Z459" s="4"/>
      <c r="AA459" s="82"/>
      <c r="AB459" s="82"/>
      <c r="AC459" s="82"/>
      <c r="AE459" s="10" t="s">
        <v>480</v>
      </c>
      <c r="AH459" s="23">
        <f>SUM('2021 Detail'!J442:U442)+SUM('2021 Detail'!AA442)</f>
        <v>12000</v>
      </c>
      <c r="AJ459" s="23">
        <f t="shared" si="95"/>
        <v>-1700</v>
      </c>
      <c r="AL459" t="str">
        <f t="shared" si="96"/>
        <v>Down</v>
      </c>
      <c r="AQ459" s="23"/>
      <c r="AV459" s="11"/>
    </row>
    <row r="460" spans="1:48" s="6" customFormat="1" x14ac:dyDescent="0.2">
      <c r="A460" s="226" t="s">
        <v>339</v>
      </c>
      <c r="B460" s="9" t="s">
        <v>495</v>
      </c>
      <c r="C460" s="9" t="s">
        <v>495</v>
      </c>
      <c r="D460" s="9" t="s">
        <v>495</v>
      </c>
      <c r="E460" s="9"/>
      <c r="F460" s="9">
        <v>0</v>
      </c>
      <c r="G460" s="83">
        <v>6795</v>
      </c>
      <c r="H460" s="83">
        <f t="shared" si="92"/>
        <v>6850</v>
      </c>
      <c r="I460" s="133">
        <f t="shared" si="93"/>
        <v>1.0081</v>
      </c>
      <c r="J460" s="82">
        <v>1000</v>
      </c>
      <c r="K460" s="82"/>
      <c r="L460" s="82"/>
      <c r="M460" s="82"/>
      <c r="N460" s="82">
        <v>2850</v>
      </c>
      <c r="O460" s="82"/>
      <c r="P460" s="82">
        <v>1500</v>
      </c>
      <c r="Q460" s="82"/>
      <c r="R460" s="82">
        <v>1500</v>
      </c>
      <c r="S460" s="23"/>
      <c r="T460" s="23"/>
      <c r="U460" s="23"/>
      <c r="V460" s="7" t="s">
        <v>821</v>
      </c>
      <c r="W460" s="82">
        <f t="shared" si="94"/>
        <v>-55</v>
      </c>
      <c r="X460" s="7"/>
      <c r="Y460" s="4"/>
      <c r="Z460" s="4"/>
      <c r="AA460" s="82"/>
      <c r="AB460" s="82"/>
      <c r="AC460" s="82"/>
      <c r="AE460" s="10" t="s">
        <v>480</v>
      </c>
      <c r="AH460" s="23">
        <f>SUM('2021 Detail'!J443:U443)+SUM('2021 Detail'!AA443)</f>
        <v>6850</v>
      </c>
      <c r="AJ460" s="23">
        <f t="shared" si="95"/>
        <v>0</v>
      </c>
      <c r="AL460" t="str">
        <f t="shared" si="96"/>
        <v>Same</v>
      </c>
      <c r="AQ460" s="23"/>
      <c r="AV460" s="11"/>
    </row>
    <row r="461" spans="1:48" s="6" customFormat="1" x14ac:dyDescent="0.2">
      <c r="A461" s="226" t="s">
        <v>340</v>
      </c>
      <c r="B461" s="9">
        <v>0</v>
      </c>
      <c r="C461" s="9" t="s">
        <v>495</v>
      </c>
      <c r="D461" s="9" t="s">
        <v>495</v>
      </c>
      <c r="E461" s="9"/>
      <c r="F461" s="9">
        <v>0</v>
      </c>
      <c r="G461" s="83">
        <v>4817</v>
      </c>
      <c r="H461" s="83">
        <f t="shared" si="92"/>
        <v>4817</v>
      </c>
      <c r="I461" s="133">
        <f t="shared" si="93"/>
        <v>1</v>
      </c>
      <c r="J461" s="82">
        <v>0</v>
      </c>
      <c r="K461" s="82"/>
      <c r="L461" s="82"/>
      <c r="M461" s="82"/>
      <c r="N461" s="82">
        <v>2409</v>
      </c>
      <c r="O461" s="82"/>
      <c r="P461" s="82"/>
      <c r="Q461" s="82"/>
      <c r="R461" s="82">
        <v>2408</v>
      </c>
      <c r="S461" s="23"/>
      <c r="T461" s="23"/>
      <c r="U461" s="23"/>
      <c r="V461" s="7" t="s">
        <v>822</v>
      </c>
      <c r="W461" s="82">
        <f t="shared" si="94"/>
        <v>0</v>
      </c>
      <c r="X461" s="7"/>
      <c r="Y461" s="4"/>
      <c r="Z461" s="4"/>
      <c r="AA461" s="82"/>
      <c r="AB461" s="82"/>
      <c r="AC461" s="82"/>
      <c r="AE461" s="10" t="s">
        <v>479</v>
      </c>
      <c r="AH461" s="23">
        <f>SUM('2021 Detail'!J444:U444)+SUM('2021 Detail'!AA444)</f>
        <v>4819</v>
      </c>
      <c r="AJ461" s="23">
        <f t="shared" si="95"/>
        <v>-2</v>
      </c>
      <c r="AL461" t="str">
        <f t="shared" si="96"/>
        <v>Down</v>
      </c>
      <c r="AQ461" s="23"/>
      <c r="AV461" s="11"/>
    </row>
    <row r="462" spans="1:48" s="6" customFormat="1" x14ac:dyDescent="0.2">
      <c r="A462" s="226" t="s">
        <v>341</v>
      </c>
      <c r="B462" s="9" t="s">
        <v>495</v>
      </c>
      <c r="C462" s="9">
        <v>0</v>
      </c>
      <c r="D462" s="9">
        <v>0</v>
      </c>
      <c r="E462" s="9"/>
      <c r="F462" s="9">
        <v>0</v>
      </c>
      <c r="G462" s="83">
        <v>10300</v>
      </c>
      <c r="H462" s="83">
        <f t="shared" si="92"/>
        <v>10300</v>
      </c>
      <c r="I462" s="133">
        <f t="shared" si="93"/>
        <v>1</v>
      </c>
      <c r="J462" s="82">
        <v>0</v>
      </c>
      <c r="K462" s="82"/>
      <c r="L462" s="82">
        <v>3000</v>
      </c>
      <c r="M462" s="82"/>
      <c r="N462" s="82"/>
      <c r="O462" s="82"/>
      <c r="P462" s="82">
        <v>3000</v>
      </c>
      <c r="Q462" s="82"/>
      <c r="R462" s="82"/>
      <c r="S462" s="23">
        <v>2000</v>
      </c>
      <c r="T462" s="23">
        <v>2300</v>
      </c>
      <c r="U462" s="23"/>
      <c r="V462" s="7" t="s">
        <v>823</v>
      </c>
      <c r="W462" s="82">
        <f t="shared" si="94"/>
        <v>0</v>
      </c>
      <c r="X462" s="7"/>
      <c r="Y462" s="4"/>
      <c r="Z462" s="4"/>
      <c r="AA462" s="82"/>
      <c r="AB462" s="82"/>
      <c r="AC462" s="82"/>
      <c r="AE462" s="10" t="s">
        <v>480</v>
      </c>
      <c r="AH462" s="23">
        <f>SUM('2021 Detail'!J445:U445)+SUM('2021 Detail'!AA445)</f>
        <v>10300</v>
      </c>
      <c r="AJ462" s="23">
        <f t="shared" si="95"/>
        <v>0</v>
      </c>
      <c r="AL462" t="str">
        <f t="shared" si="96"/>
        <v>Same</v>
      </c>
      <c r="AQ462" s="23"/>
      <c r="AV462" s="11"/>
    </row>
    <row r="463" spans="1:48" x14ac:dyDescent="0.2">
      <c r="A463" s="226" t="s">
        <v>342</v>
      </c>
      <c r="B463" s="9" t="s">
        <v>495</v>
      </c>
      <c r="C463" s="9" t="s">
        <v>495</v>
      </c>
      <c r="D463" s="9" t="s">
        <v>495</v>
      </c>
      <c r="E463" s="9"/>
      <c r="F463" s="9" t="s">
        <v>495</v>
      </c>
      <c r="G463" s="83">
        <v>5976</v>
      </c>
      <c r="H463" s="83">
        <f t="shared" si="92"/>
        <v>5976</v>
      </c>
      <c r="I463" s="133">
        <f t="shared" si="93"/>
        <v>1</v>
      </c>
      <c r="J463" s="82">
        <v>498</v>
      </c>
      <c r="K463" s="82">
        <v>498</v>
      </c>
      <c r="L463" s="82">
        <v>498</v>
      </c>
      <c r="M463" s="82">
        <v>498</v>
      </c>
      <c r="N463" s="82">
        <v>498</v>
      </c>
      <c r="O463" s="82">
        <v>498</v>
      </c>
      <c r="P463" s="82">
        <v>498</v>
      </c>
      <c r="Q463" s="82">
        <v>498</v>
      </c>
      <c r="R463" s="82">
        <v>498</v>
      </c>
      <c r="S463" s="23">
        <v>498</v>
      </c>
      <c r="T463" s="23">
        <v>498</v>
      </c>
      <c r="U463" s="23">
        <v>498</v>
      </c>
      <c r="V463" s="7" t="s">
        <v>824</v>
      </c>
      <c r="W463" s="82">
        <f t="shared" si="94"/>
        <v>0</v>
      </c>
      <c r="Y463" s="4"/>
      <c r="Z463" s="4"/>
      <c r="AA463" s="82"/>
      <c r="AB463" s="82"/>
      <c r="AC463" s="82"/>
      <c r="AE463" s="7" t="s">
        <v>477</v>
      </c>
      <c r="AH463" s="23">
        <f>SUM('2021 Detail'!J446:U446)+SUM('2021 Detail'!AA446)</f>
        <v>6007</v>
      </c>
      <c r="AJ463" s="23">
        <f t="shared" si="95"/>
        <v>-31</v>
      </c>
      <c r="AL463" t="str">
        <f t="shared" si="96"/>
        <v>Down</v>
      </c>
      <c r="AQ463" s="23">
        <v>500.58</v>
      </c>
      <c r="AV463" s="11"/>
    </row>
    <row r="464" spans="1:48" x14ac:dyDescent="0.2">
      <c r="A464" s="226" t="s">
        <v>343</v>
      </c>
      <c r="B464" s="9" t="s">
        <v>495</v>
      </c>
      <c r="C464" s="9" t="s">
        <v>495</v>
      </c>
      <c r="D464" s="9">
        <v>0</v>
      </c>
      <c r="E464" s="9"/>
      <c r="F464" s="9" t="s">
        <v>495</v>
      </c>
      <c r="G464" s="83">
        <v>8894</v>
      </c>
      <c r="H464" s="83">
        <f t="shared" si="92"/>
        <v>8894</v>
      </c>
      <c r="I464" s="133">
        <f t="shared" si="93"/>
        <v>1</v>
      </c>
      <c r="J464" s="82">
        <v>741.24</v>
      </c>
      <c r="K464" s="82">
        <v>741.16</v>
      </c>
      <c r="L464" s="82">
        <v>741.16</v>
      </c>
      <c r="M464" s="82">
        <v>741.16</v>
      </c>
      <c r="N464" s="82">
        <v>741.16</v>
      </c>
      <c r="O464" s="82">
        <v>741.16</v>
      </c>
      <c r="P464" s="82">
        <v>741.16</v>
      </c>
      <c r="Q464" s="82">
        <v>741.16</v>
      </c>
      <c r="R464" s="82">
        <v>741.16</v>
      </c>
      <c r="S464" s="23">
        <v>741.16</v>
      </c>
      <c r="T464" s="23">
        <v>741.16</v>
      </c>
      <c r="U464" s="23">
        <v>741.16</v>
      </c>
      <c r="V464" s="7" t="s">
        <v>825</v>
      </c>
      <c r="W464" s="82">
        <f t="shared" si="94"/>
        <v>0</v>
      </c>
      <c r="Y464" s="4"/>
      <c r="Z464" s="4"/>
      <c r="AA464" s="82"/>
      <c r="AB464" s="82"/>
      <c r="AC464" s="82"/>
      <c r="AE464" s="7" t="s">
        <v>474</v>
      </c>
      <c r="AH464" s="23">
        <f>SUM('2021 Detail'!J447:U447)+SUM('2021 Detail'!AA447)</f>
        <v>9793</v>
      </c>
      <c r="AJ464" s="23">
        <f t="shared" si="95"/>
        <v>-899</v>
      </c>
      <c r="AL464" t="str">
        <f t="shared" si="96"/>
        <v>Down</v>
      </c>
      <c r="AQ464" s="23">
        <v>820.63</v>
      </c>
      <c r="AV464" s="11"/>
    </row>
    <row r="465" spans="1:48" x14ac:dyDescent="0.2">
      <c r="B465" s="9"/>
      <c r="C465" s="9"/>
      <c r="E465" s="9"/>
      <c r="F465" s="9"/>
      <c r="G465" s="205"/>
      <c r="H465" s="197"/>
      <c r="I465" s="133"/>
      <c r="Y465" s="4"/>
      <c r="Z465" s="4"/>
      <c r="AJ465" s="23">
        <f t="shared" si="95"/>
        <v>0</v>
      </c>
    </row>
    <row r="466" spans="1:48" x14ac:dyDescent="0.2">
      <c r="I466" s="133"/>
      <c r="Y466" s="4"/>
      <c r="Z466" s="4"/>
      <c r="AJ466" s="23"/>
    </row>
    <row r="467" spans="1:48" x14ac:dyDescent="0.2">
      <c r="A467" s="226" t="s">
        <v>1142</v>
      </c>
      <c r="G467" s="83">
        <f t="shared" ref="G467:H467" si="97">SUM(G418:G466)</f>
        <v>617639</v>
      </c>
      <c r="H467" s="83">
        <f t="shared" si="97"/>
        <v>592985.05000000005</v>
      </c>
      <c r="I467" s="133">
        <f t="shared" ref="I467:I468" si="98">ROUND((H467/G467),4)</f>
        <v>0.96009999999999995</v>
      </c>
      <c r="J467" s="83">
        <f>SUM(J418:J466)</f>
        <v>40084.150000000009</v>
      </c>
      <c r="K467" s="83">
        <f t="shared" ref="K467:W467" si="99">SUM(K418:K466)</f>
        <v>43546.810000000012</v>
      </c>
      <c r="L467" s="83">
        <f t="shared" si="99"/>
        <v>43357.500000000015</v>
      </c>
      <c r="M467" s="83">
        <f t="shared" si="99"/>
        <v>41657.500000000015</v>
      </c>
      <c r="N467" s="83">
        <f t="shared" si="99"/>
        <v>60197.500000000015</v>
      </c>
      <c r="O467" s="83">
        <f t="shared" si="99"/>
        <v>52824.550000000017</v>
      </c>
      <c r="P467" s="83">
        <f t="shared" si="99"/>
        <v>51630.000000000015</v>
      </c>
      <c r="Q467" s="83">
        <f t="shared" si="99"/>
        <v>45425.500000000015</v>
      </c>
      <c r="R467" s="83">
        <f t="shared" si="99"/>
        <v>44165.500000000015</v>
      </c>
      <c r="S467" s="4">
        <f t="shared" si="99"/>
        <v>62713.250000000015</v>
      </c>
      <c r="T467" s="4">
        <f t="shared" si="99"/>
        <v>59534.250000000015</v>
      </c>
      <c r="U467" s="4">
        <f t="shared" si="99"/>
        <v>46177.540000000015</v>
      </c>
      <c r="V467" s="77"/>
      <c r="W467" s="82">
        <f t="shared" si="99"/>
        <v>24653.95</v>
      </c>
      <c r="Y467" s="4"/>
      <c r="Z467" s="4"/>
      <c r="AA467" s="83">
        <f>SUM(AA418:AA466)</f>
        <v>0</v>
      </c>
      <c r="AB467" s="83">
        <f t="shared" ref="AB467:AC467" si="100">SUM(AB418:AB466)</f>
        <v>1671</v>
      </c>
      <c r="AC467" s="83">
        <f t="shared" si="100"/>
        <v>0</v>
      </c>
      <c r="AD467" s="4"/>
      <c r="AH467" s="23">
        <f>SUM(AH418:AH466)</f>
        <v>597067.64999999991</v>
      </c>
      <c r="AJ467" s="23">
        <f t="shared" si="95"/>
        <v>-4082.5999999998603</v>
      </c>
      <c r="AM467" s="11">
        <f>SUM(J467:R467)+SUM(S468:U468)+SUM('2020 detail'!AA449:AC449)</f>
        <v>595502.87000000011</v>
      </c>
      <c r="AN467" s="24">
        <f>ROUND((AM467/G467),4)</f>
        <v>0.96419999999999995</v>
      </c>
      <c r="AO467" s="24">
        <f>ROUND((SUM(J468:U468)/G468),4)</f>
        <v>0.9577</v>
      </c>
      <c r="AQ467" s="23">
        <f>SUM(AQ418:AQ466)</f>
        <v>72518.570000000022</v>
      </c>
      <c r="AR467">
        <v>63</v>
      </c>
      <c r="AV467" s="11"/>
    </row>
    <row r="468" spans="1:48" x14ac:dyDescent="0.2">
      <c r="A468" s="253" t="s">
        <v>1056</v>
      </c>
      <c r="G468" s="206">
        <f>'2021 Detail'!G450</f>
        <v>623163</v>
      </c>
      <c r="H468" s="206">
        <f>SUM(J468:U468)+SUM(AA468:AC468)</f>
        <v>600704.43000000005</v>
      </c>
      <c r="I468" s="207">
        <f t="shared" si="98"/>
        <v>0.96399999999999997</v>
      </c>
      <c r="J468" s="206">
        <f>'2021 Detail'!J450</f>
        <v>37083.000000000007</v>
      </c>
      <c r="K468" s="206">
        <f>'2021 Detail'!K450</f>
        <v>39941.920000000006</v>
      </c>
      <c r="L468" s="206">
        <f>'2021 Detail'!L450</f>
        <v>55851.210000000006</v>
      </c>
      <c r="M468" s="206">
        <f>'2021 Detail'!M450</f>
        <v>39906.410000000003</v>
      </c>
      <c r="N468" s="206">
        <f>'2021 Detail'!N450</f>
        <v>51200.820000000007</v>
      </c>
      <c r="O468" s="206">
        <f>'2021 Detail'!O450</f>
        <v>39687.340000000004</v>
      </c>
      <c r="P468" s="206">
        <f>'2021 Detail'!P450</f>
        <v>58000.350000000013</v>
      </c>
      <c r="Q468" s="206">
        <f>'2021 Detail'!Q450</f>
        <v>50445.37</v>
      </c>
      <c r="R468" s="206">
        <f>'2021 Detail'!R450</f>
        <v>52087.37</v>
      </c>
      <c r="S468" s="206">
        <f>'2021 Detail'!S450</f>
        <v>42187.37</v>
      </c>
      <c r="T468" s="206">
        <f>'2021 Detail'!T450</f>
        <v>57592.11</v>
      </c>
      <c r="U468" s="206">
        <f>'2021 Detail'!U450</f>
        <v>72834.380000000019</v>
      </c>
      <c r="V468" s="206"/>
      <c r="W468" s="206"/>
      <c r="X468" s="206"/>
      <c r="Y468" s="4"/>
      <c r="Z468" s="4"/>
      <c r="AA468" s="206">
        <f>'2021 Detail'!AA450</f>
        <v>250</v>
      </c>
      <c r="AB468" s="206">
        <f>'2021 Detail'!AB450</f>
        <v>3636.78</v>
      </c>
      <c r="AC468" s="206">
        <f>'2021 Detail'!AC450</f>
        <v>0</v>
      </c>
      <c r="AJ468" s="23"/>
    </row>
    <row r="469" spans="1:48" x14ac:dyDescent="0.2">
      <c r="Y469" s="4"/>
      <c r="Z469" s="4"/>
      <c r="AJ469" s="23"/>
    </row>
    <row r="470" spans="1:48" x14ac:dyDescent="0.2">
      <c r="A470" s="226" t="str">
        <f t="shared" ref="A470:U470" si="101">A$510</f>
        <v>Diocesan Total 2022</v>
      </c>
      <c r="B470" s="226">
        <f t="shared" si="101"/>
        <v>0</v>
      </c>
      <c r="C470" s="226">
        <f t="shared" si="101"/>
        <v>0</v>
      </c>
      <c r="D470" s="258">
        <f t="shared" si="101"/>
        <v>0</v>
      </c>
      <c r="E470" s="226">
        <f t="shared" si="101"/>
        <v>0</v>
      </c>
      <c r="F470" s="226">
        <f t="shared" si="101"/>
        <v>0</v>
      </c>
      <c r="G470" s="83">
        <f t="shared" si="101"/>
        <v>8116012</v>
      </c>
      <c r="H470" s="83">
        <f t="shared" si="101"/>
        <v>6559332.3399999999</v>
      </c>
      <c r="I470" s="133">
        <f t="shared" si="101"/>
        <v>0.80820000000000003</v>
      </c>
      <c r="J470" s="83">
        <f t="shared" si="101"/>
        <v>378351.23</v>
      </c>
      <c r="K470" s="83">
        <f t="shared" si="101"/>
        <v>449442.02</v>
      </c>
      <c r="L470" s="83">
        <f t="shared" si="101"/>
        <v>517036.34</v>
      </c>
      <c r="M470" s="83">
        <f t="shared" si="101"/>
        <v>434875.54000000004</v>
      </c>
      <c r="N470" s="83">
        <f t="shared" si="101"/>
        <v>497786.23</v>
      </c>
      <c r="O470" s="83">
        <f t="shared" si="101"/>
        <v>599586.94000000006</v>
      </c>
      <c r="P470" s="83">
        <f t="shared" si="101"/>
        <v>498701.35</v>
      </c>
      <c r="Q470" s="83">
        <f t="shared" si="101"/>
        <v>538018.41999999993</v>
      </c>
      <c r="R470" s="83">
        <f t="shared" si="101"/>
        <v>551902.79</v>
      </c>
      <c r="S470" s="4">
        <f t="shared" si="101"/>
        <v>564217.18000000005</v>
      </c>
      <c r="T470" s="4">
        <f t="shared" si="101"/>
        <v>646111.05000000005</v>
      </c>
      <c r="U470" s="4">
        <f t="shared" si="101"/>
        <v>737258.44</v>
      </c>
      <c r="V470" s="77"/>
      <c r="W470" s="82"/>
      <c r="X470" s="4"/>
      <c r="Y470" s="4"/>
      <c r="Z470" s="4"/>
      <c r="AA470" s="83"/>
      <c r="AB470" s="83"/>
      <c r="AC470" s="83"/>
      <c r="AD470" s="4"/>
      <c r="AH470" s="23">
        <f>AH$510</f>
        <v>6554125.29</v>
      </c>
      <c r="AJ470" s="23">
        <f>AJ$510</f>
        <v>5207.0499999998137</v>
      </c>
    </row>
    <row r="471" spans="1:48" x14ac:dyDescent="0.2">
      <c r="A471" s="253" t="str">
        <f t="shared" ref="A471:U471" si="102">A$511</f>
        <v>Diocesan Total 2021</v>
      </c>
      <c r="B471" s="253">
        <f t="shared" si="102"/>
        <v>0</v>
      </c>
      <c r="C471" s="253">
        <f t="shared" si="102"/>
        <v>0</v>
      </c>
      <c r="D471" s="259">
        <f t="shared" si="102"/>
        <v>0</v>
      </c>
      <c r="E471" s="253">
        <f t="shared" si="102"/>
        <v>0</v>
      </c>
      <c r="F471" s="253">
        <f t="shared" si="102"/>
        <v>0</v>
      </c>
      <c r="G471" s="206">
        <f t="shared" si="102"/>
        <v>8132853</v>
      </c>
      <c r="H471" s="206">
        <f t="shared" si="102"/>
        <v>6587993.7700000005</v>
      </c>
      <c r="I471" s="207">
        <f t="shared" si="102"/>
        <v>0.81</v>
      </c>
      <c r="J471" s="206">
        <f t="shared" si="102"/>
        <v>340336.86</v>
      </c>
      <c r="K471" s="206">
        <f t="shared" si="102"/>
        <v>407387.73</v>
      </c>
      <c r="L471" s="206">
        <f t="shared" si="102"/>
        <v>497955.59</v>
      </c>
      <c r="M471" s="206">
        <f t="shared" si="102"/>
        <v>513800.89999999997</v>
      </c>
      <c r="N471" s="206">
        <f t="shared" si="102"/>
        <v>483760.16000000003</v>
      </c>
      <c r="O471" s="206">
        <f t="shared" si="102"/>
        <v>527451.71000000008</v>
      </c>
      <c r="P471" s="206">
        <f t="shared" si="102"/>
        <v>582882.6100000001</v>
      </c>
      <c r="Q471" s="206">
        <f t="shared" si="102"/>
        <v>489302.35</v>
      </c>
      <c r="R471" s="206">
        <f t="shared" si="102"/>
        <v>548459.72</v>
      </c>
      <c r="S471" s="206">
        <f t="shared" si="102"/>
        <v>527708.16999999993</v>
      </c>
      <c r="T471" s="206">
        <f t="shared" si="102"/>
        <v>616975.80999999994</v>
      </c>
      <c r="U471" s="206">
        <f t="shared" si="102"/>
        <v>907302.59</v>
      </c>
      <c r="V471" s="206"/>
      <c r="W471" s="206"/>
      <c r="X471" s="206"/>
      <c r="Y471" s="4"/>
      <c r="Z471" s="4"/>
      <c r="AA471" s="206"/>
      <c r="AB471" s="206"/>
      <c r="AC471" s="206"/>
      <c r="AJ471" s="23"/>
    </row>
    <row r="472" spans="1:48" ht="15.75" x14ac:dyDescent="0.25">
      <c r="G472" s="196" t="s">
        <v>17</v>
      </c>
      <c r="Y472" s="4"/>
      <c r="Z472" s="4"/>
      <c r="AH472" s="171" t="s">
        <v>1136</v>
      </c>
      <c r="AI472" s="172"/>
      <c r="AJ472" s="171" t="s">
        <v>1064</v>
      </c>
    </row>
    <row r="473" spans="1:48" x14ac:dyDescent="0.2">
      <c r="Y473" s="4"/>
      <c r="Z473" s="4"/>
      <c r="AH473" s="171" t="s">
        <v>1137</v>
      </c>
      <c r="AI473" s="172"/>
      <c r="AJ473" s="171" t="s">
        <v>1138</v>
      </c>
    </row>
    <row r="474" spans="1:48" ht="16.5" x14ac:dyDescent="0.25">
      <c r="A474" s="250"/>
      <c r="B474" s="8"/>
      <c r="C474" s="8"/>
      <c r="E474" s="8"/>
      <c r="F474" s="8"/>
      <c r="G474" s="208" t="str">
        <f>$G$3</f>
        <v>2022 PARISH SHARE INFORMATION AS AT 31 DECEMBER 2022</v>
      </c>
      <c r="H474" s="209"/>
      <c r="W474" s="194"/>
      <c r="X474"/>
      <c r="Y474" s="4"/>
      <c r="Z474" s="4"/>
      <c r="AA474"/>
      <c r="AB474"/>
      <c r="AC474"/>
      <c r="AH474" s="172"/>
      <c r="AI474" s="172"/>
      <c r="AJ474" s="171" t="s">
        <v>1139</v>
      </c>
    </row>
    <row r="475" spans="1:48" x14ac:dyDescent="0.2">
      <c r="A475" s="250"/>
      <c r="G475" s="205"/>
      <c r="H475" s="197"/>
      <c r="W475" s="194"/>
      <c r="X475"/>
      <c r="Y475" s="4"/>
      <c r="Z475" s="4"/>
      <c r="AA475"/>
      <c r="AB475"/>
      <c r="AC475"/>
    </row>
    <row r="476" spans="1:48" ht="16.5" x14ac:dyDescent="0.25">
      <c r="A476" s="251" t="s">
        <v>1</v>
      </c>
      <c r="B476" s="151" t="str">
        <f>$B$5</f>
        <v>RM</v>
      </c>
      <c r="C476" s="151" t="str">
        <f>$C$5</f>
        <v>RF</v>
      </c>
      <c r="D476" s="151" t="str">
        <f>$D$5</f>
        <v>Accts</v>
      </c>
      <c r="E476" s="151"/>
      <c r="F476" s="151" t="str">
        <f>$F$5</f>
        <v>Share DD</v>
      </c>
      <c r="G476" s="210" t="str">
        <f>$G$5</f>
        <v xml:space="preserve">2022 Share </v>
      </c>
      <c r="H476" s="211" t="str">
        <f>$H$5</f>
        <v xml:space="preserve">2022 Paid </v>
      </c>
      <c r="I476" s="211" t="str">
        <f>$I$5</f>
        <v xml:space="preserve">% Paid </v>
      </c>
      <c r="J476" s="212">
        <f>$J$5</f>
        <v>44592</v>
      </c>
      <c r="K476" s="212">
        <f>$K$5</f>
        <v>44620</v>
      </c>
      <c r="L476" s="212">
        <f>$L$5</f>
        <v>44651</v>
      </c>
      <c r="M476" s="212">
        <f>$M$5</f>
        <v>44681</v>
      </c>
      <c r="N476" s="212">
        <f>$N$5</f>
        <v>44712</v>
      </c>
      <c r="O476" s="212">
        <f>$O$5</f>
        <v>44742</v>
      </c>
      <c r="P476" s="212">
        <f>$P$5</f>
        <v>44773</v>
      </c>
      <c r="Q476" s="212">
        <f>$Q$5</f>
        <v>44804</v>
      </c>
      <c r="R476" s="212">
        <f>$R$5</f>
        <v>44834</v>
      </c>
      <c r="S476" s="155">
        <f>$S$5</f>
        <v>44865</v>
      </c>
      <c r="T476" s="155">
        <f>$T$5</f>
        <v>44895</v>
      </c>
      <c r="U476" s="155">
        <f>$U$5</f>
        <v>44926</v>
      </c>
      <c r="V476" s="78"/>
      <c r="W476" s="195" t="str">
        <f>$W$5</f>
        <v xml:space="preserve">Outstanding </v>
      </c>
      <c r="X476" s="2"/>
      <c r="Y476" s="4"/>
      <c r="Z476" s="4"/>
      <c r="AA476" s="2">
        <f>$AA$5</f>
        <v>44957</v>
      </c>
      <c r="AB476" s="2">
        <f>$AB$5</f>
        <v>44985</v>
      </c>
      <c r="AC476" s="2">
        <f>$AC$5</f>
        <v>45016</v>
      </c>
      <c r="AE476" s="152" t="str">
        <f>$AE$5</f>
        <v>Benefice</v>
      </c>
      <c r="AH476" s="16" t="s">
        <v>1141</v>
      </c>
      <c r="AJ476" s="170" t="s">
        <v>1140</v>
      </c>
      <c r="AQ476" s="222">
        <f>AQ5</f>
        <v>44588</v>
      </c>
    </row>
    <row r="477" spans="1:48" ht="16.5" x14ac:dyDescent="0.25">
      <c r="A477" s="250"/>
      <c r="G477" s="201" t="s">
        <v>1040</v>
      </c>
      <c r="H477" s="202" t="s">
        <v>1040</v>
      </c>
      <c r="I477" s="203"/>
      <c r="J477" s="202" t="s">
        <v>1040</v>
      </c>
      <c r="K477" s="202" t="s">
        <v>1040</v>
      </c>
      <c r="L477" s="202" t="s">
        <v>1040</v>
      </c>
      <c r="M477" s="202" t="s">
        <v>1040</v>
      </c>
      <c r="N477" s="202" t="s">
        <v>1040</v>
      </c>
      <c r="O477" s="202" t="s">
        <v>1040</v>
      </c>
      <c r="P477" s="202" t="s">
        <v>1040</v>
      </c>
      <c r="Q477" s="202" t="s">
        <v>1040</v>
      </c>
      <c r="R477" s="202" t="s">
        <v>1040</v>
      </c>
      <c r="S477" s="147" t="s">
        <v>1040</v>
      </c>
      <c r="T477" s="147" t="s">
        <v>1040</v>
      </c>
      <c r="U477" s="147" t="s">
        <v>1040</v>
      </c>
      <c r="W477" s="194"/>
      <c r="X477"/>
      <c r="Y477" s="4"/>
      <c r="Z477" s="4"/>
      <c r="AA477"/>
      <c r="AB477"/>
      <c r="AC477"/>
      <c r="AJ477" s="23"/>
    </row>
    <row r="478" spans="1:48" x14ac:dyDescent="0.2">
      <c r="Y478" s="4"/>
      <c r="Z478" s="4"/>
      <c r="AJ478" s="23"/>
    </row>
    <row r="479" spans="1:48" x14ac:dyDescent="0.2">
      <c r="A479" s="226" t="s">
        <v>344</v>
      </c>
      <c r="B479" s="9">
        <v>0</v>
      </c>
      <c r="C479" s="9" t="s">
        <v>495</v>
      </c>
      <c r="D479" s="9" t="s">
        <v>495</v>
      </c>
      <c r="E479" s="9"/>
      <c r="F479" s="9" t="s">
        <v>495</v>
      </c>
      <c r="G479" s="83">
        <v>57154</v>
      </c>
      <c r="H479" s="83">
        <f t="shared" ref="H479:H505" si="103">SUM(J479:U479)+SUM(AA479:AC479)</f>
        <v>42000</v>
      </c>
      <c r="I479" s="133">
        <f t="shared" ref="I479:I510" si="104">ROUND((H479/G479),4)</f>
        <v>0.7349</v>
      </c>
      <c r="J479" s="82">
        <v>3500</v>
      </c>
      <c r="K479" s="82">
        <v>3500</v>
      </c>
      <c r="L479" s="82">
        <v>3500</v>
      </c>
      <c r="M479" s="82">
        <v>3500</v>
      </c>
      <c r="N479" s="82">
        <v>3500</v>
      </c>
      <c r="O479" s="82">
        <v>3500</v>
      </c>
      <c r="P479" s="82">
        <v>3500</v>
      </c>
      <c r="Q479" s="82">
        <v>3500</v>
      </c>
      <c r="R479" s="82">
        <v>3500</v>
      </c>
      <c r="S479" s="23">
        <v>3500</v>
      </c>
      <c r="T479" s="23">
        <v>3500</v>
      </c>
      <c r="U479" s="23">
        <v>3500</v>
      </c>
      <c r="V479" s="79" t="s">
        <v>826</v>
      </c>
      <c r="W479" s="82">
        <f t="shared" ref="W479:W505" si="105">G479-H479</f>
        <v>15154</v>
      </c>
      <c r="Y479" s="4"/>
      <c r="Z479" s="4"/>
      <c r="AA479" s="82"/>
      <c r="AB479" s="82"/>
      <c r="AC479" s="82"/>
      <c r="AD479" s="23"/>
      <c r="AE479" s="7" t="s">
        <v>483</v>
      </c>
      <c r="AH479" s="23">
        <f>SUM('2021 Detail'!J460:U460)+SUM('2021 Detail'!AA460)</f>
        <v>57153</v>
      </c>
      <c r="AJ479" s="23">
        <f t="shared" ref="AJ479:AJ510" si="106">H479-AH479</f>
        <v>-15153</v>
      </c>
      <c r="AL479" t="str">
        <f t="shared" ref="AL479:AL505" si="107">IF(AJ479&lt;0,"Down",IF(AJ479&gt;0,"Up","Same"))</f>
        <v>Down</v>
      </c>
      <c r="AQ479" s="23">
        <v>3500</v>
      </c>
    </row>
    <row r="480" spans="1:48" x14ac:dyDescent="0.2">
      <c r="A480" s="226" t="s">
        <v>345</v>
      </c>
      <c r="B480" s="9">
        <v>0</v>
      </c>
      <c r="C480" s="9">
        <v>0</v>
      </c>
      <c r="D480" s="9">
        <v>0</v>
      </c>
      <c r="E480" s="9"/>
      <c r="F480" s="9">
        <v>0</v>
      </c>
      <c r="G480" s="83">
        <v>6350</v>
      </c>
      <c r="H480" s="83">
        <f t="shared" si="103"/>
        <v>4000</v>
      </c>
      <c r="I480" s="133">
        <f t="shared" si="104"/>
        <v>0.62990000000000002</v>
      </c>
      <c r="J480" s="82"/>
      <c r="K480" s="82"/>
      <c r="L480" s="82"/>
      <c r="M480" s="82"/>
      <c r="N480" s="82"/>
      <c r="O480" s="82">
        <v>3000</v>
      </c>
      <c r="P480" s="82"/>
      <c r="Q480" s="82"/>
      <c r="R480" s="82"/>
      <c r="S480" s="23"/>
      <c r="T480" s="23">
        <v>1000</v>
      </c>
      <c r="U480" s="23"/>
      <c r="V480" s="79" t="s">
        <v>827</v>
      </c>
      <c r="W480" s="82">
        <f t="shared" si="105"/>
        <v>2350</v>
      </c>
      <c r="Y480" s="4"/>
      <c r="Z480" s="4"/>
      <c r="AA480" s="82"/>
      <c r="AB480" s="82"/>
      <c r="AC480" s="82"/>
      <c r="AD480" s="23"/>
      <c r="AE480" s="7" t="s">
        <v>483</v>
      </c>
      <c r="AH480" s="23">
        <f>SUM('2021 Detail'!J461:U461)+SUM('2021 Detail'!AA461)</f>
        <v>4349.5</v>
      </c>
      <c r="AJ480" s="23">
        <f t="shared" si="106"/>
        <v>-349.5</v>
      </c>
      <c r="AL480" t="str">
        <f t="shared" si="107"/>
        <v>Down</v>
      </c>
      <c r="AQ480" s="23">
        <v>2762</v>
      </c>
    </row>
    <row r="481" spans="1:43" x14ac:dyDescent="0.2">
      <c r="A481" s="226" t="s">
        <v>346</v>
      </c>
      <c r="B481" s="9" t="s">
        <v>495</v>
      </c>
      <c r="C481" s="9">
        <v>0</v>
      </c>
      <c r="D481" s="9">
        <v>0</v>
      </c>
      <c r="E481" s="9"/>
      <c r="F481" s="9" t="s">
        <v>495</v>
      </c>
      <c r="G481" s="83">
        <v>5911.65</v>
      </c>
      <c r="H481" s="83">
        <f t="shared" si="103"/>
        <v>4730.92</v>
      </c>
      <c r="I481" s="133">
        <f t="shared" si="104"/>
        <v>0.80030000000000001</v>
      </c>
      <c r="J481" s="82">
        <v>347.12</v>
      </c>
      <c r="K481" s="82">
        <v>347.08</v>
      </c>
      <c r="L481" s="82">
        <v>347.08</v>
      </c>
      <c r="M481" s="82">
        <v>541.08000000000004</v>
      </c>
      <c r="N481" s="82">
        <v>541.08000000000004</v>
      </c>
      <c r="O481" s="82">
        <v>0</v>
      </c>
      <c r="P481" s="82">
        <v>347.08</v>
      </c>
      <c r="Q481" s="82">
        <v>347.08</v>
      </c>
      <c r="R481" s="82">
        <v>347.08</v>
      </c>
      <c r="S481" s="23">
        <v>347.08</v>
      </c>
      <c r="T481" s="23">
        <v>347.08</v>
      </c>
      <c r="U481" s="23">
        <v>872.08</v>
      </c>
      <c r="V481" s="79" t="s">
        <v>828</v>
      </c>
      <c r="W481" s="82">
        <f t="shared" si="105"/>
        <v>1180.7299999999996</v>
      </c>
      <c r="Y481" s="4"/>
      <c r="Z481" s="4"/>
      <c r="AA481" s="82"/>
      <c r="AB481" s="82"/>
      <c r="AC481" s="82"/>
      <c r="AD481" s="23"/>
      <c r="AE481" s="7" t="s">
        <v>481</v>
      </c>
      <c r="AH481" s="23">
        <f>SUM('2021 Detail'!J462:U462)+SUM('2021 Detail'!AA462)</f>
        <v>4165</v>
      </c>
      <c r="AJ481" s="23">
        <f t="shared" si="106"/>
        <v>565.92000000000007</v>
      </c>
      <c r="AL481" t="str">
        <f t="shared" si="107"/>
        <v>Up</v>
      </c>
      <c r="AQ481" s="23">
        <v>347.08</v>
      </c>
    </row>
    <row r="482" spans="1:43" x14ac:dyDescent="0.2">
      <c r="A482" s="226" t="s">
        <v>347</v>
      </c>
      <c r="B482" s="9" t="s">
        <v>495</v>
      </c>
      <c r="C482" s="9" t="s">
        <v>495</v>
      </c>
      <c r="D482" s="9">
        <v>0</v>
      </c>
      <c r="E482" s="9"/>
      <c r="F482" s="9">
        <v>0</v>
      </c>
      <c r="G482" s="83">
        <v>25582</v>
      </c>
      <c r="H482" s="83">
        <f t="shared" si="103"/>
        <v>25582</v>
      </c>
      <c r="I482" s="133">
        <f t="shared" si="104"/>
        <v>1</v>
      </c>
      <c r="J482" s="82"/>
      <c r="K482" s="82"/>
      <c r="L482" s="82">
        <v>2000</v>
      </c>
      <c r="M482" s="82"/>
      <c r="N482" s="82"/>
      <c r="O482" s="82">
        <v>8000</v>
      </c>
      <c r="P482" s="82">
        <v>3000</v>
      </c>
      <c r="Q482" s="82">
        <v>3000</v>
      </c>
      <c r="R482" s="82">
        <v>2000</v>
      </c>
      <c r="S482" s="23">
        <v>3000</v>
      </c>
      <c r="T482" s="23"/>
      <c r="U482" s="23">
        <v>4582</v>
      </c>
      <c r="V482" s="79" t="s">
        <v>829</v>
      </c>
      <c r="W482" s="82">
        <f t="shared" si="105"/>
        <v>0</v>
      </c>
      <c r="Y482" s="4"/>
      <c r="Z482" s="4"/>
      <c r="AA482" s="82"/>
      <c r="AB482" s="82"/>
      <c r="AC482" s="82"/>
      <c r="AD482" s="23"/>
      <c r="AE482" s="7" t="s">
        <v>494</v>
      </c>
      <c r="AH482" s="23">
        <f>SUM('2021 Detail'!J463:U463)+SUM('2021 Detail'!AA463)</f>
        <v>25582</v>
      </c>
      <c r="AJ482" s="23">
        <f t="shared" si="106"/>
        <v>0</v>
      </c>
      <c r="AL482" t="str">
        <f t="shared" si="107"/>
        <v>Same</v>
      </c>
      <c r="AQ482" s="23">
        <v>11582</v>
      </c>
    </row>
    <row r="483" spans="1:43" x14ac:dyDescent="0.2">
      <c r="A483" s="226" t="s">
        <v>349</v>
      </c>
      <c r="B483" s="9" t="s">
        <v>495</v>
      </c>
      <c r="C483" s="9" t="s">
        <v>495</v>
      </c>
      <c r="D483" s="9" t="s">
        <v>495</v>
      </c>
      <c r="E483" s="9"/>
      <c r="F483" s="9" t="s">
        <v>495</v>
      </c>
      <c r="G483" s="83">
        <v>26412</v>
      </c>
      <c r="H483" s="83">
        <f t="shared" si="103"/>
        <v>12412</v>
      </c>
      <c r="I483" s="133">
        <f t="shared" si="104"/>
        <v>0.46989999999999998</v>
      </c>
      <c r="J483" s="82">
        <v>1000</v>
      </c>
      <c r="K483" s="82">
        <v>412</v>
      </c>
      <c r="L483" s="82"/>
      <c r="M483" s="82">
        <v>1000</v>
      </c>
      <c r="N483" s="82">
        <v>1000</v>
      </c>
      <c r="O483" s="82">
        <v>1000</v>
      </c>
      <c r="P483" s="82">
        <v>2000</v>
      </c>
      <c r="Q483" s="82">
        <v>2000</v>
      </c>
      <c r="R483" s="82">
        <v>1000</v>
      </c>
      <c r="S483" s="23">
        <v>2000</v>
      </c>
      <c r="T483" s="23">
        <v>1000</v>
      </c>
      <c r="U483" s="23"/>
      <c r="V483" s="79" t="s">
        <v>831</v>
      </c>
      <c r="W483" s="82">
        <f t="shared" si="105"/>
        <v>14000</v>
      </c>
      <c r="Y483" s="4"/>
      <c r="Z483" s="4"/>
      <c r="AA483" s="82"/>
      <c r="AB483" s="82"/>
      <c r="AC483" s="82"/>
      <c r="AD483" s="23"/>
      <c r="AE483" s="7" t="s">
        <v>488</v>
      </c>
      <c r="AH483" s="23">
        <f>SUM('2021 Detail'!J465:U465)+SUM('2021 Detail'!AA465)</f>
        <v>15411</v>
      </c>
      <c r="AJ483" s="23">
        <f t="shared" si="106"/>
        <v>-2999</v>
      </c>
      <c r="AL483" t="str">
        <f t="shared" si="107"/>
        <v>Down</v>
      </c>
      <c r="AQ483" s="23">
        <v>3000</v>
      </c>
    </row>
    <row r="484" spans="1:43" x14ac:dyDescent="0.2">
      <c r="A484" s="226" t="s">
        <v>350</v>
      </c>
      <c r="B484" s="9" t="s">
        <v>495</v>
      </c>
      <c r="C484" s="9" t="s">
        <v>495</v>
      </c>
      <c r="D484" s="9">
        <v>0</v>
      </c>
      <c r="E484" s="9"/>
      <c r="F484" s="9">
        <v>0</v>
      </c>
      <c r="G484" s="83">
        <v>84192</v>
      </c>
      <c r="H484" s="83">
        <f t="shared" si="103"/>
        <v>84192</v>
      </c>
      <c r="I484" s="133">
        <f t="shared" si="104"/>
        <v>1</v>
      </c>
      <c r="J484" s="82">
        <v>8592</v>
      </c>
      <c r="K484" s="82">
        <v>8400</v>
      </c>
      <c r="L484" s="82">
        <v>8400</v>
      </c>
      <c r="M484" s="82">
        <v>8400</v>
      </c>
      <c r="N484" s="82">
        <v>8400</v>
      </c>
      <c r="O484" s="82">
        <v>8400</v>
      </c>
      <c r="P484" s="82">
        <v>8400</v>
      </c>
      <c r="Q484" s="82">
        <v>8400</v>
      </c>
      <c r="R484" s="82">
        <v>8400</v>
      </c>
      <c r="S484" s="23">
        <v>8400</v>
      </c>
      <c r="T484" s="23"/>
      <c r="U484" s="23"/>
      <c r="V484" s="79" t="s">
        <v>832</v>
      </c>
      <c r="W484" s="82">
        <f t="shared" si="105"/>
        <v>0</v>
      </c>
      <c r="Y484" s="4"/>
      <c r="Z484" s="4"/>
      <c r="AA484" s="82"/>
      <c r="AB484" s="82"/>
      <c r="AC484" s="82"/>
      <c r="AD484" s="23"/>
      <c r="AE484" s="7" t="s">
        <v>997</v>
      </c>
      <c r="AH484" s="23">
        <f>SUM('2021 Detail'!J466:U466)+SUM('2021 Detail'!AA466)</f>
        <v>84193</v>
      </c>
      <c r="AJ484" s="23">
        <f t="shared" si="106"/>
        <v>-1</v>
      </c>
      <c r="AL484" t="str">
        <f t="shared" si="107"/>
        <v>Down</v>
      </c>
    </row>
    <row r="485" spans="1:43" x14ac:dyDescent="0.2">
      <c r="A485" s="226" t="s">
        <v>351</v>
      </c>
      <c r="B485" s="9">
        <v>0</v>
      </c>
      <c r="C485" s="9" t="s">
        <v>495</v>
      </c>
      <c r="D485" s="9">
        <v>0</v>
      </c>
      <c r="E485" s="9"/>
      <c r="F485" s="9">
        <v>0</v>
      </c>
      <c r="G485" s="83">
        <v>15876</v>
      </c>
      <c r="H485" s="83">
        <f t="shared" si="103"/>
        <v>15876</v>
      </c>
      <c r="I485" s="133">
        <f t="shared" si="104"/>
        <v>1</v>
      </c>
      <c r="J485" s="82"/>
      <c r="K485" s="82">
        <v>1323</v>
      </c>
      <c r="L485" s="82">
        <v>1323</v>
      </c>
      <c r="M485" s="82">
        <v>1323</v>
      </c>
      <c r="N485" s="82">
        <v>1323</v>
      </c>
      <c r="O485" s="82">
        <v>2646</v>
      </c>
      <c r="P485" s="82"/>
      <c r="Q485" s="82">
        <v>1323</v>
      </c>
      <c r="R485" s="82">
        <v>1323</v>
      </c>
      <c r="S485" s="23">
        <v>1323</v>
      </c>
      <c r="T485" s="23">
        <v>1323</v>
      </c>
      <c r="U485" s="23">
        <v>2646</v>
      </c>
      <c r="V485" s="79" t="s">
        <v>833</v>
      </c>
      <c r="W485" s="82">
        <f t="shared" si="105"/>
        <v>0</v>
      </c>
      <c r="Y485" s="4"/>
      <c r="Z485" s="4"/>
      <c r="AA485" s="82"/>
      <c r="AB485" s="82"/>
      <c r="AC485" s="82"/>
      <c r="AD485" s="23"/>
      <c r="AE485" s="7" t="s">
        <v>483</v>
      </c>
      <c r="AH485" s="23">
        <f>SUM('2021 Detail'!J467:U467)+SUM('2021 Detail'!AA467)</f>
        <v>15876</v>
      </c>
      <c r="AJ485" s="23">
        <f t="shared" si="106"/>
        <v>0</v>
      </c>
      <c r="AL485" t="str">
        <f t="shared" si="107"/>
        <v>Same</v>
      </c>
      <c r="AQ485" s="23">
        <v>2646</v>
      </c>
    </row>
    <row r="486" spans="1:43" x14ac:dyDescent="0.2">
      <c r="A486" s="226" t="s">
        <v>352</v>
      </c>
      <c r="B486" s="9" t="s">
        <v>495</v>
      </c>
      <c r="C486" s="9" t="s">
        <v>495</v>
      </c>
      <c r="D486" s="9">
        <v>0</v>
      </c>
      <c r="E486" s="9"/>
      <c r="F486" s="9">
        <v>0</v>
      </c>
      <c r="G486" s="83">
        <v>12151.73</v>
      </c>
      <c r="H486" s="83">
        <f t="shared" si="103"/>
        <v>5000</v>
      </c>
      <c r="I486" s="133">
        <f t="shared" si="104"/>
        <v>0.41149999999999998</v>
      </c>
      <c r="J486" s="82"/>
      <c r="K486" s="82"/>
      <c r="L486" s="82"/>
      <c r="M486" s="82"/>
      <c r="N486" s="82"/>
      <c r="O486" s="82"/>
      <c r="P486" s="82"/>
      <c r="Q486" s="82">
        <v>1500</v>
      </c>
      <c r="R486" s="82"/>
      <c r="S486" s="23"/>
      <c r="T486" s="23">
        <v>3000</v>
      </c>
      <c r="U486" s="23"/>
      <c r="V486" s="79" t="s">
        <v>834</v>
      </c>
      <c r="W486" s="82">
        <f t="shared" si="105"/>
        <v>7151.73</v>
      </c>
      <c r="Y486" s="4"/>
      <c r="Z486" s="4"/>
      <c r="AA486" s="82">
        <v>500</v>
      </c>
      <c r="AB486" s="82"/>
      <c r="AC486" s="82"/>
      <c r="AD486" s="23"/>
      <c r="AE486" s="7" t="s">
        <v>481</v>
      </c>
      <c r="AH486" s="23">
        <f>SUM('2021 Detail'!J468:U468)+SUM('2021 Detail'!AA468)</f>
        <v>3000</v>
      </c>
      <c r="AJ486" s="23">
        <f t="shared" si="106"/>
        <v>2000</v>
      </c>
      <c r="AL486" t="str">
        <f t="shared" si="107"/>
        <v>Up</v>
      </c>
    </row>
    <row r="487" spans="1:43" x14ac:dyDescent="0.2">
      <c r="A487" s="226" t="s">
        <v>353</v>
      </c>
      <c r="B487" s="9" t="s">
        <v>495</v>
      </c>
      <c r="C487" s="9" t="s">
        <v>495</v>
      </c>
      <c r="D487" s="9" t="s">
        <v>495</v>
      </c>
      <c r="E487" s="9"/>
      <c r="F487" s="9">
        <v>0</v>
      </c>
      <c r="G487" s="83">
        <v>15107.54</v>
      </c>
      <c r="H487" s="83">
        <f t="shared" si="103"/>
        <v>15108</v>
      </c>
      <c r="I487" s="133">
        <f t="shared" si="104"/>
        <v>1</v>
      </c>
      <c r="J487" s="82"/>
      <c r="K487" s="82"/>
      <c r="L487" s="82">
        <v>4110</v>
      </c>
      <c r="M487" s="82"/>
      <c r="N487" s="82"/>
      <c r="O487" s="82">
        <v>4110</v>
      </c>
      <c r="P487" s="82"/>
      <c r="Q487" s="82"/>
      <c r="R487" s="82">
        <v>3444</v>
      </c>
      <c r="S487" s="23"/>
      <c r="T487" s="23"/>
      <c r="U487" s="23">
        <v>3444</v>
      </c>
      <c r="V487" s="79" t="s">
        <v>835</v>
      </c>
      <c r="W487" s="82">
        <f t="shared" si="105"/>
        <v>-0.45999999999912689</v>
      </c>
      <c r="Y487" s="4"/>
      <c r="Z487" s="4"/>
      <c r="AA487" s="82"/>
      <c r="AB487" s="82"/>
      <c r="AC487" s="82"/>
      <c r="AD487" s="23"/>
      <c r="AE487" s="7" t="s">
        <v>481</v>
      </c>
      <c r="AH487" s="23">
        <f>SUM('2021 Detail'!J469:U469)+SUM('2021 Detail'!AA469)</f>
        <v>8220</v>
      </c>
      <c r="AJ487" s="23">
        <f t="shared" si="106"/>
        <v>6888</v>
      </c>
      <c r="AL487" t="str">
        <f t="shared" si="107"/>
        <v>Up</v>
      </c>
      <c r="AQ487" s="23">
        <v>2610</v>
      </c>
    </row>
    <row r="488" spans="1:43" x14ac:dyDescent="0.2">
      <c r="A488" s="226" t="s">
        <v>354</v>
      </c>
      <c r="B488" s="9" t="s">
        <v>495</v>
      </c>
      <c r="C488" s="9">
        <v>0</v>
      </c>
      <c r="D488" s="9" t="s">
        <v>495</v>
      </c>
      <c r="E488" s="9"/>
      <c r="F488" s="9">
        <v>0</v>
      </c>
      <c r="G488" s="83">
        <v>20881</v>
      </c>
      <c r="H488" s="83">
        <f t="shared" si="103"/>
        <v>3000</v>
      </c>
      <c r="I488" s="133">
        <f t="shared" si="104"/>
        <v>0.14369999999999999</v>
      </c>
      <c r="J488" s="82">
        <v>250</v>
      </c>
      <c r="K488" s="82"/>
      <c r="L488" s="82">
        <v>500</v>
      </c>
      <c r="M488" s="82"/>
      <c r="N488" s="82">
        <v>500</v>
      </c>
      <c r="O488" s="82">
        <v>250</v>
      </c>
      <c r="P488" s="82"/>
      <c r="Q488" s="82">
        <v>500</v>
      </c>
      <c r="R488" s="82">
        <v>250</v>
      </c>
      <c r="S488" s="23">
        <v>250</v>
      </c>
      <c r="T488" s="23">
        <v>250</v>
      </c>
      <c r="U488" s="23">
        <v>250</v>
      </c>
      <c r="V488" s="79" t="s">
        <v>836</v>
      </c>
      <c r="W488" s="82">
        <f t="shared" si="105"/>
        <v>17881</v>
      </c>
      <c r="Y488" s="4"/>
      <c r="Z488" s="4"/>
      <c r="AA488" s="82"/>
      <c r="AB488" s="82"/>
      <c r="AC488" s="82"/>
      <c r="AD488" s="23"/>
      <c r="AE488" s="7" t="s">
        <v>488</v>
      </c>
      <c r="AH488" s="23">
        <f>SUM('2021 Detail'!J470:U470)+SUM('2021 Detail'!AA470)</f>
        <v>3000</v>
      </c>
      <c r="AJ488" s="23">
        <f t="shared" si="106"/>
        <v>0</v>
      </c>
      <c r="AL488" t="str">
        <f t="shared" si="107"/>
        <v>Same</v>
      </c>
      <c r="AQ488" s="23">
        <v>250</v>
      </c>
    </row>
    <row r="489" spans="1:43" x14ac:dyDescent="0.2">
      <c r="A489" s="226" t="s">
        <v>355</v>
      </c>
      <c r="B489" s="9" t="s">
        <v>495</v>
      </c>
      <c r="C489" s="9" t="s">
        <v>495</v>
      </c>
      <c r="D489" s="9" t="s">
        <v>495</v>
      </c>
      <c r="E489" s="9"/>
      <c r="F489" s="9" t="s">
        <v>495</v>
      </c>
      <c r="G489" s="83">
        <v>59729</v>
      </c>
      <c r="H489" s="83">
        <f t="shared" si="103"/>
        <v>39819.360000000001</v>
      </c>
      <c r="I489" s="133">
        <f t="shared" si="104"/>
        <v>0.66669999999999996</v>
      </c>
      <c r="J489" s="82">
        <v>4977.49</v>
      </c>
      <c r="K489" s="82">
        <v>4977.41</v>
      </c>
      <c r="L489" s="82"/>
      <c r="M489" s="82"/>
      <c r="N489" s="82">
        <v>4977.41</v>
      </c>
      <c r="O489" s="82">
        <v>4977.41</v>
      </c>
      <c r="P489" s="82">
        <v>4977.41</v>
      </c>
      <c r="Q489" s="82">
        <v>4977.41</v>
      </c>
      <c r="R489" s="82">
        <v>4977.41</v>
      </c>
      <c r="S489" s="23">
        <v>4977.41</v>
      </c>
      <c r="T489" s="23"/>
      <c r="U489" s="23"/>
      <c r="V489" s="79" t="s">
        <v>837</v>
      </c>
      <c r="W489" s="82">
        <f t="shared" si="105"/>
        <v>19909.64</v>
      </c>
      <c r="Y489" s="4"/>
      <c r="Z489" s="4"/>
      <c r="AA489" s="82"/>
      <c r="AB489" s="82"/>
      <c r="AC489" s="82"/>
      <c r="AD489" s="23"/>
      <c r="AE489" s="7" t="s">
        <v>484</v>
      </c>
      <c r="AH489" s="23">
        <f>SUM('2021 Detail'!J471:U471)+SUM('2021 Detail'!AA471)</f>
        <v>39819.279999999999</v>
      </c>
      <c r="AJ489" s="23">
        <f t="shared" si="106"/>
        <v>8.000000000174623E-2</v>
      </c>
      <c r="AL489" t="str">
        <f t="shared" si="107"/>
        <v>Up</v>
      </c>
      <c r="AQ489" s="23">
        <v>4977.41</v>
      </c>
    </row>
    <row r="490" spans="1:43" x14ac:dyDescent="0.2">
      <c r="A490" s="226" t="s">
        <v>356</v>
      </c>
      <c r="B490" s="9" t="s">
        <v>495</v>
      </c>
      <c r="C490" s="9" t="s">
        <v>495</v>
      </c>
      <c r="D490" s="9" t="s">
        <v>495</v>
      </c>
      <c r="E490" s="9"/>
      <c r="F490" s="9">
        <v>0</v>
      </c>
      <c r="G490" s="83">
        <v>11823.3</v>
      </c>
      <c r="H490" s="83">
        <f t="shared" si="103"/>
        <v>9000</v>
      </c>
      <c r="I490" s="133">
        <f t="shared" si="104"/>
        <v>0.76119999999999999</v>
      </c>
      <c r="J490" s="82">
        <v>875</v>
      </c>
      <c r="K490" s="82"/>
      <c r="L490" s="82"/>
      <c r="M490" s="82">
        <v>1375</v>
      </c>
      <c r="N490" s="82"/>
      <c r="O490" s="82">
        <v>500</v>
      </c>
      <c r="P490" s="82">
        <v>5000</v>
      </c>
      <c r="Q490" s="82"/>
      <c r="R490" s="82"/>
      <c r="S490" s="23">
        <v>500</v>
      </c>
      <c r="T490" s="23">
        <v>750</v>
      </c>
      <c r="U490" s="23"/>
      <c r="V490" s="79" t="s">
        <v>838</v>
      </c>
      <c r="W490" s="82">
        <f t="shared" si="105"/>
        <v>2823.2999999999993</v>
      </c>
      <c r="Y490" s="4"/>
      <c r="Z490" s="4"/>
      <c r="AA490" s="82"/>
      <c r="AB490" s="82"/>
      <c r="AC490" s="82"/>
      <c r="AD490" s="23"/>
      <c r="AE490" s="7" t="s">
        <v>481</v>
      </c>
      <c r="AH490" s="23">
        <f>SUM('2021 Detail'!J472:U472)+SUM('2021 Detail'!AA472)</f>
        <v>6200</v>
      </c>
      <c r="AJ490" s="23">
        <f t="shared" si="106"/>
        <v>2800</v>
      </c>
      <c r="AL490" t="str">
        <f t="shared" si="107"/>
        <v>Up</v>
      </c>
    </row>
    <row r="491" spans="1:43" x14ac:dyDescent="0.2">
      <c r="A491" s="226" t="s">
        <v>357</v>
      </c>
      <c r="B491" s="9" t="s">
        <v>495</v>
      </c>
      <c r="C491" s="9" t="s">
        <v>495</v>
      </c>
      <c r="D491" s="9">
        <v>0</v>
      </c>
      <c r="E491" s="9"/>
      <c r="F491" s="9" t="s">
        <v>495</v>
      </c>
      <c r="G491" s="83">
        <v>20690.78</v>
      </c>
      <c r="H491" s="83">
        <f t="shared" si="103"/>
        <v>19900</v>
      </c>
      <c r="I491" s="133">
        <f t="shared" si="104"/>
        <v>0.96179999999999999</v>
      </c>
      <c r="J491" s="82">
        <v>700</v>
      </c>
      <c r="K491" s="82">
        <v>700</v>
      </c>
      <c r="L491" s="82">
        <v>700</v>
      </c>
      <c r="M491" s="82">
        <v>2700</v>
      </c>
      <c r="N491" s="82">
        <v>700</v>
      </c>
      <c r="O491" s="82">
        <v>700</v>
      </c>
      <c r="P491" s="82">
        <v>700</v>
      </c>
      <c r="Q491" s="82">
        <v>700</v>
      </c>
      <c r="R491" s="82">
        <v>700</v>
      </c>
      <c r="S491" s="23">
        <v>2200</v>
      </c>
      <c r="T491" s="23">
        <v>2700</v>
      </c>
      <c r="U491" s="23">
        <v>700</v>
      </c>
      <c r="V491" s="79" t="s">
        <v>839</v>
      </c>
      <c r="W491" s="82">
        <f t="shared" si="105"/>
        <v>790.77999999999884</v>
      </c>
      <c r="Y491" s="4"/>
      <c r="Z491" s="4"/>
      <c r="AA491" s="82">
        <v>6000</v>
      </c>
      <c r="AB491" s="82"/>
      <c r="AC491" s="82"/>
      <c r="AD491" s="23"/>
      <c r="AE491" s="7" t="s">
        <v>481</v>
      </c>
      <c r="AH491" s="23">
        <f>SUM('2021 Detail'!J473:U473)+SUM('2021 Detail'!AA473)</f>
        <v>16420</v>
      </c>
      <c r="AJ491" s="23">
        <f t="shared" si="106"/>
        <v>3480</v>
      </c>
      <c r="AL491" t="str">
        <f t="shared" si="107"/>
        <v>Up</v>
      </c>
      <c r="AQ491" s="23">
        <v>5220</v>
      </c>
    </row>
    <row r="492" spans="1:43" x14ac:dyDescent="0.2">
      <c r="A492" s="226" t="s">
        <v>358</v>
      </c>
      <c r="B492" s="9" t="s">
        <v>495</v>
      </c>
      <c r="C492" s="9" t="s">
        <v>495</v>
      </c>
      <c r="D492" s="9" t="s">
        <v>495</v>
      </c>
      <c r="E492" s="9"/>
      <c r="F492" s="9" t="s">
        <v>495</v>
      </c>
      <c r="G492" s="83">
        <v>72321</v>
      </c>
      <c r="H492" s="83">
        <f t="shared" si="103"/>
        <v>72321</v>
      </c>
      <c r="I492" s="133">
        <f t="shared" si="104"/>
        <v>1</v>
      </c>
      <c r="J492" s="82">
        <v>3000</v>
      </c>
      <c r="K492" s="82">
        <v>3000</v>
      </c>
      <c r="L492" s="82">
        <v>3000</v>
      </c>
      <c r="M492" s="82">
        <v>3000</v>
      </c>
      <c r="N492" s="82">
        <v>3000</v>
      </c>
      <c r="O492" s="82">
        <v>13000</v>
      </c>
      <c r="P492" s="82">
        <v>3000</v>
      </c>
      <c r="Q492" s="82">
        <v>3000</v>
      </c>
      <c r="R492" s="82">
        <v>3000</v>
      </c>
      <c r="S492" s="23">
        <v>18000</v>
      </c>
      <c r="T492" s="23">
        <v>3000</v>
      </c>
      <c r="U492" s="23">
        <v>14321</v>
      </c>
      <c r="V492" s="79" t="s">
        <v>840</v>
      </c>
      <c r="W492" s="82">
        <f t="shared" si="105"/>
        <v>0</v>
      </c>
      <c r="Y492" s="4"/>
      <c r="Z492" s="4"/>
      <c r="AA492" s="82"/>
      <c r="AB492" s="82"/>
      <c r="AC492" s="82"/>
      <c r="AD492" s="23"/>
      <c r="AE492" s="7" t="s">
        <v>489</v>
      </c>
      <c r="AH492" s="23">
        <f>SUM('2021 Detail'!J474:U474)+SUM('2021 Detail'!AA474)</f>
        <v>72321</v>
      </c>
      <c r="AJ492" s="23">
        <f t="shared" si="106"/>
        <v>0</v>
      </c>
      <c r="AL492" t="str">
        <f t="shared" si="107"/>
        <v>Same</v>
      </c>
      <c r="AQ492" s="23">
        <v>9321</v>
      </c>
    </row>
    <row r="493" spans="1:43" x14ac:dyDescent="0.2">
      <c r="A493" s="226" t="s">
        <v>359</v>
      </c>
      <c r="B493" s="9" t="s">
        <v>495</v>
      </c>
      <c r="C493" s="9" t="s">
        <v>495</v>
      </c>
      <c r="D493" s="9" t="s">
        <v>495</v>
      </c>
      <c r="E493" s="9"/>
      <c r="F493" s="9">
        <v>0</v>
      </c>
      <c r="G493" s="83">
        <v>18483</v>
      </c>
      <c r="H493" s="83">
        <f t="shared" si="103"/>
        <v>18480</v>
      </c>
      <c r="I493" s="133">
        <f t="shared" si="104"/>
        <v>0.99980000000000002</v>
      </c>
      <c r="J493" s="82">
        <v>1540</v>
      </c>
      <c r="K493" s="82">
        <v>1540</v>
      </c>
      <c r="L493" s="82">
        <v>1540</v>
      </c>
      <c r="M493" s="82">
        <v>1540</v>
      </c>
      <c r="N493" s="82">
        <v>1540</v>
      </c>
      <c r="O493" s="82">
        <v>1540</v>
      </c>
      <c r="P493" s="82">
        <v>1540</v>
      </c>
      <c r="Q493" s="82">
        <v>1540</v>
      </c>
      <c r="R493" s="82">
        <v>1540</v>
      </c>
      <c r="S493" s="23">
        <v>1540</v>
      </c>
      <c r="T493" s="23">
        <v>1540</v>
      </c>
      <c r="U493" s="23">
        <v>1540</v>
      </c>
      <c r="V493" s="79" t="s">
        <v>841</v>
      </c>
      <c r="W493" s="82">
        <f t="shared" si="105"/>
        <v>3</v>
      </c>
      <c r="Y493" s="4"/>
      <c r="Z493" s="4"/>
      <c r="AA493" s="82"/>
      <c r="AB493" s="82"/>
      <c r="AC493" s="82"/>
      <c r="AD493" s="23"/>
      <c r="AE493" s="7" t="s">
        <v>482</v>
      </c>
      <c r="AH493" s="23">
        <f>SUM('2021 Detail'!J475:U475)+SUM('2021 Detail'!AA475)</f>
        <v>18485</v>
      </c>
      <c r="AJ493" s="23">
        <f t="shared" si="106"/>
        <v>-5</v>
      </c>
      <c r="AL493" t="str">
        <f t="shared" si="107"/>
        <v>Down</v>
      </c>
    </row>
    <row r="494" spans="1:43" x14ac:dyDescent="0.2">
      <c r="A494" s="226" t="s">
        <v>360</v>
      </c>
      <c r="B494" s="9" t="s">
        <v>495</v>
      </c>
      <c r="C494" s="9" t="s">
        <v>495</v>
      </c>
      <c r="D494" s="9" t="s">
        <v>495</v>
      </c>
      <c r="E494" s="9"/>
      <c r="F494" s="9">
        <v>0</v>
      </c>
      <c r="G494" s="83">
        <v>22718</v>
      </c>
      <c r="H494" s="83">
        <f t="shared" si="103"/>
        <v>19000</v>
      </c>
      <c r="I494" s="133">
        <f t="shared" si="104"/>
        <v>0.83630000000000004</v>
      </c>
      <c r="J494" s="82"/>
      <c r="K494" s="82">
        <v>4500</v>
      </c>
      <c r="L494" s="82">
        <v>2000</v>
      </c>
      <c r="M494" s="82">
        <v>2000</v>
      </c>
      <c r="N494" s="82">
        <v>2500</v>
      </c>
      <c r="O494" s="82">
        <v>1000</v>
      </c>
      <c r="P494" s="82">
        <v>2000</v>
      </c>
      <c r="Q494" s="82">
        <v>1500</v>
      </c>
      <c r="R494" s="82"/>
      <c r="S494" s="23">
        <v>2500</v>
      </c>
      <c r="T494" s="23">
        <v>1000</v>
      </c>
      <c r="U494" s="23"/>
      <c r="V494" s="79" t="s">
        <v>842</v>
      </c>
      <c r="W494" s="82">
        <f t="shared" si="105"/>
        <v>3718</v>
      </c>
      <c r="Y494" s="4"/>
      <c r="Z494" s="4"/>
      <c r="AA494" s="82"/>
      <c r="AB494" s="82"/>
      <c r="AC494" s="82"/>
      <c r="AD494" s="23"/>
      <c r="AE494" s="7" t="s">
        <v>490</v>
      </c>
      <c r="AH494" s="23">
        <f>SUM('2021 Detail'!J476:U476)+SUM('2021 Detail'!AA476)</f>
        <v>17250</v>
      </c>
      <c r="AJ494" s="23">
        <f t="shared" si="106"/>
        <v>1750</v>
      </c>
      <c r="AL494" t="str">
        <f t="shared" si="107"/>
        <v>Up</v>
      </c>
    </row>
    <row r="495" spans="1:43" x14ac:dyDescent="0.2">
      <c r="A495" s="226" t="s">
        <v>361</v>
      </c>
      <c r="B495" s="9" t="s">
        <v>495</v>
      </c>
      <c r="C495" s="9" t="s">
        <v>495</v>
      </c>
      <c r="D495" s="9">
        <v>0</v>
      </c>
      <c r="E495" s="9"/>
      <c r="F495" s="9" t="s">
        <v>495</v>
      </c>
      <c r="G495" s="83">
        <v>70174</v>
      </c>
      <c r="H495" s="83">
        <f t="shared" si="103"/>
        <v>70174</v>
      </c>
      <c r="I495" s="133">
        <f t="shared" si="104"/>
        <v>1</v>
      </c>
      <c r="J495" s="82">
        <v>34259</v>
      </c>
      <c r="K495" s="82">
        <v>3265</v>
      </c>
      <c r="L495" s="82">
        <v>3265</v>
      </c>
      <c r="M495" s="82">
        <v>3265</v>
      </c>
      <c r="N495" s="82">
        <v>3265</v>
      </c>
      <c r="O495" s="82">
        <v>3265</v>
      </c>
      <c r="P495" s="82">
        <v>3265</v>
      </c>
      <c r="Q495" s="82">
        <v>3265</v>
      </c>
      <c r="R495" s="82">
        <v>3265</v>
      </c>
      <c r="S495" s="23">
        <v>3265</v>
      </c>
      <c r="T495" s="23">
        <v>3265</v>
      </c>
      <c r="U495" s="23">
        <v>3265</v>
      </c>
      <c r="V495" s="79" t="s">
        <v>843</v>
      </c>
      <c r="W495" s="82">
        <f t="shared" si="105"/>
        <v>0</v>
      </c>
      <c r="Y495" s="4"/>
      <c r="Z495" s="4"/>
      <c r="AA495" s="82"/>
      <c r="AB495" s="82"/>
      <c r="AC495" s="82"/>
      <c r="AD495" s="23"/>
      <c r="AE495" s="7" t="s">
        <v>485</v>
      </c>
      <c r="AH495" s="23">
        <f>SUM('2021 Detail'!J477:U477)+SUM('2021 Detail'!AA477)</f>
        <v>52620</v>
      </c>
      <c r="AJ495" s="23">
        <f t="shared" si="106"/>
        <v>17554</v>
      </c>
      <c r="AL495" t="str">
        <f t="shared" si="107"/>
        <v>Up</v>
      </c>
      <c r="AQ495" s="23">
        <v>2485</v>
      </c>
    </row>
    <row r="496" spans="1:43" x14ac:dyDescent="0.2">
      <c r="A496" s="226" t="s">
        <v>362</v>
      </c>
      <c r="B496" s="9" t="s">
        <v>495</v>
      </c>
      <c r="C496" s="9" t="s">
        <v>495</v>
      </c>
      <c r="D496" s="9" t="s">
        <v>495</v>
      </c>
      <c r="E496" s="9"/>
      <c r="F496" s="9" t="s">
        <v>495</v>
      </c>
      <c r="G496" s="83">
        <v>24665</v>
      </c>
      <c r="H496" s="83">
        <f t="shared" si="103"/>
        <v>17500</v>
      </c>
      <c r="I496" s="133">
        <f t="shared" si="104"/>
        <v>0.70950000000000002</v>
      </c>
      <c r="J496" s="82">
        <v>1500</v>
      </c>
      <c r="K496" s="82"/>
      <c r="L496" s="82">
        <v>3000</v>
      </c>
      <c r="M496" s="82"/>
      <c r="N496" s="82">
        <v>4000</v>
      </c>
      <c r="O496" s="82"/>
      <c r="P496" s="82"/>
      <c r="Q496" s="82">
        <v>6000</v>
      </c>
      <c r="R496" s="82"/>
      <c r="S496" s="23"/>
      <c r="T496" s="23">
        <v>3000</v>
      </c>
      <c r="U496" s="23"/>
      <c r="V496" s="79" t="s">
        <v>844</v>
      </c>
      <c r="W496" s="82">
        <f t="shared" si="105"/>
        <v>7165</v>
      </c>
      <c r="Y496" s="4"/>
      <c r="Z496" s="4"/>
      <c r="AA496" s="82"/>
      <c r="AB496" s="82"/>
      <c r="AC496" s="82"/>
      <c r="AD496" s="23"/>
      <c r="AE496" s="7" t="s">
        <v>491</v>
      </c>
      <c r="AH496" s="23">
        <f>SUM('2021 Detail'!J478:U478)+SUM('2021 Detail'!AA478)</f>
        <v>14000</v>
      </c>
      <c r="AJ496" s="23">
        <f t="shared" si="106"/>
        <v>3500</v>
      </c>
      <c r="AL496" t="str">
        <f t="shared" si="107"/>
        <v>Up</v>
      </c>
    </row>
    <row r="497" spans="1:43" x14ac:dyDescent="0.2">
      <c r="A497" s="226" t="s">
        <v>363</v>
      </c>
      <c r="B497" s="9" t="s">
        <v>495</v>
      </c>
      <c r="C497" s="9" t="s">
        <v>495</v>
      </c>
      <c r="D497" s="9" t="s">
        <v>495</v>
      </c>
      <c r="E497" s="9"/>
      <c r="F497" s="9" t="s">
        <v>495</v>
      </c>
      <c r="G497" s="83">
        <v>47704</v>
      </c>
      <c r="H497" s="83">
        <f t="shared" si="103"/>
        <v>47703</v>
      </c>
      <c r="I497" s="133">
        <f t="shared" si="104"/>
        <v>1</v>
      </c>
      <c r="J497" s="82">
        <v>3975.25</v>
      </c>
      <c r="K497" s="82">
        <v>3975.25</v>
      </c>
      <c r="L497" s="82">
        <v>3975.25</v>
      </c>
      <c r="M497" s="82">
        <v>3975.25</v>
      </c>
      <c r="N497" s="82">
        <v>3975.25</v>
      </c>
      <c r="O497" s="82">
        <v>3975.25</v>
      </c>
      <c r="P497" s="82">
        <v>3975.25</v>
      </c>
      <c r="Q497" s="82">
        <v>3975.25</v>
      </c>
      <c r="R497" s="82">
        <v>3975.25</v>
      </c>
      <c r="S497" s="23">
        <v>3975.25</v>
      </c>
      <c r="T497" s="23">
        <v>3975.25</v>
      </c>
      <c r="U497" s="23">
        <v>3975.25</v>
      </c>
      <c r="V497" s="79" t="s">
        <v>845</v>
      </c>
      <c r="W497" s="82">
        <f t="shared" si="105"/>
        <v>1</v>
      </c>
      <c r="Y497" s="4"/>
      <c r="Z497" s="4"/>
      <c r="AA497" s="82"/>
      <c r="AB497" s="82"/>
      <c r="AC497" s="82"/>
      <c r="AD497" s="23"/>
      <c r="AE497" s="7" t="s">
        <v>492</v>
      </c>
      <c r="AH497" s="23">
        <f>SUM('2021 Detail'!J479:U479)+SUM('2021 Detail'!AA479)</f>
        <v>47703</v>
      </c>
      <c r="AJ497" s="23">
        <f t="shared" si="106"/>
        <v>0</v>
      </c>
      <c r="AL497" t="str">
        <f t="shared" si="107"/>
        <v>Same</v>
      </c>
      <c r="AQ497" s="23">
        <v>3975.25</v>
      </c>
    </row>
    <row r="498" spans="1:43" x14ac:dyDescent="0.2">
      <c r="A498" s="226" t="s">
        <v>364</v>
      </c>
      <c r="B498" s="9" t="s">
        <v>495</v>
      </c>
      <c r="C498" s="9" t="s">
        <v>495</v>
      </c>
      <c r="D498" s="9" t="s">
        <v>495</v>
      </c>
      <c r="E498" s="9"/>
      <c r="F498" s="9">
        <v>0</v>
      </c>
      <c r="G498" s="83">
        <v>67269</v>
      </c>
      <c r="H498" s="83">
        <f t="shared" si="103"/>
        <v>67269</v>
      </c>
      <c r="I498" s="133">
        <f t="shared" si="104"/>
        <v>1</v>
      </c>
      <c r="J498" s="82"/>
      <c r="K498" s="82"/>
      <c r="L498" s="82">
        <v>20000</v>
      </c>
      <c r="M498" s="82"/>
      <c r="N498" s="82">
        <v>20000</v>
      </c>
      <c r="O498" s="82"/>
      <c r="P498" s="82"/>
      <c r="Q498" s="82"/>
      <c r="R498" s="82"/>
      <c r="S498" s="23"/>
      <c r="T498" s="23">
        <v>27269</v>
      </c>
      <c r="U498" s="23"/>
      <c r="V498" s="79" t="s">
        <v>846</v>
      </c>
      <c r="W498" s="82">
        <f t="shared" si="105"/>
        <v>0</v>
      </c>
      <c r="Y498" s="4"/>
      <c r="Z498" s="4"/>
      <c r="AA498" s="82"/>
      <c r="AB498" s="82"/>
      <c r="AC498" s="82"/>
      <c r="AD498" s="23"/>
      <c r="AE498" s="7" t="s">
        <v>486</v>
      </c>
      <c r="AH498" s="23">
        <f>SUM('2021 Detail'!J480:U480)+SUM('2021 Detail'!AA480)</f>
        <v>67268</v>
      </c>
      <c r="AJ498" s="23">
        <f t="shared" si="106"/>
        <v>1</v>
      </c>
      <c r="AL498" t="str">
        <f t="shared" si="107"/>
        <v>Up</v>
      </c>
    </row>
    <row r="499" spans="1:43" x14ac:dyDescent="0.2">
      <c r="A499" s="226" t="s">
        <v>365</v>
      </c>
      <c r="B499" s="9" t="s">
        <v>495</v>
      </c>
      <c r="C499" s="9" t="s">
        <v>495</v>
      </c>
      <c r="D499" s="9">
        <v>0</v>
      </c>
      <c r="E499" s="9"/>
      <c r="F499" s="9" t="s">
        <v>495</v>
      </c>
      <c r="G499" s="83">
        <v>25385</v>
      </c>
      <c r="H499" s="83">
        <f t="shared" si="103"/>
        <v>29999.999999999996</v>
      </c>
      <c r="I499" s="133">
        <f t="shared" si="104"/>
        <v>1.1818</v>
      </c>
      <c r="J499" s="82">
        <v>2340</v>
      </c>
      <c r="K499" s="82">
        <v>2514.5</v>
      </c>
      <c r="L499" s="82">
        <v>2514.5500000000002</v>
      </c>
      <c r="M499" s="82">
        <v>2514.5500000000002</v>
      </c>
      <c r="N499" s="82">
        <v>2514.5500000000002</v>
      </c>
      <c r="O499" s="82">
        <v>2514.5500000000002</v>
      </c>
      <c r="P499" s="82">
        <v>2514.5500000000002</v>
      </c>
      <c r="Q499" s="82">
        <v>2514.5500000000002</v>
      </c>
      <c r="R499" s="82">
        <v>2514.5500000000002</v>
      </c>
      <c r="S499" s="23">
        <v>2514.5500000000002</v>
      </c>
      <c r="T499" s="23">
        <v>2514.5500000000002</v>
      </c>
      <c r="U499" s="23">
        <v>2514.5500000000002</v>
      </c>
      <c r="V499" s="79" t="s">
        <v>847</v>
      </c>
      <c r="W499" s="82">
        <f t="shared" si="105"/>
        <v>-4614.9999999999964</v>
      </c>
      <c r="Y499" s="4"/>
      <c r="Z499" s="4"/>
      <c r="AA499" s="82"/>
      <c r="AB499" s="82"/>
      <c r="AC499" s="82"/>
      <c r="AD499" s="23"/>
      <c r="AE499" s="7" t="s">
        <v>493</v>
      </c>
      <c r="AH499" s="23">
        <f>SUM('2021 Detail'!J481:U481)+SUM('2021 Detail'!AA481)</f>
        <v>28080</v>
      </c>
      <c r="AJ499" s="23">
        <f t="shared" si="106"/>
        <v>1919.9999999999964</v>
      </c>
      <c r="AL499" t="str">
        <f t="shared" si="107"/>
        <v>Up</v>
      </c>
      <c r="AQ499" s="23">
        <v>2340</v>
      </c>
    </row>
    <row r="500" spans="1:43" x14ac:dyDescent="0.2">
      <c r="A500" s="226" t="s">
        <v>366</v>
      </c>
      <c r="B500" s="9" t="s">
        <v>495</v>
      </c>
      <c r="C500" s="9">
        <v>0</v>
      </c>
      <c r="D500" s="9" t="s">
        <v>495</v>
      </c>
      <c r="E500" s="9"/>
      <c r="F500" s="9">
        <v>0</v>
      </c>
      <c r="G500" s="83">
        <v>148597</v>
      </c>
      <c r="H500" s="83">
        <f t="shared" si="103"/>
        <v>148597</v>
      </c>
      <c r="I500" s="133">
        <f t="shared" si="104"/>
        <v>1</v>
      </c>
      <c r="J500" s="82"/>
      <c r="K500" s="82">
        <v>15000</v>
      </c>
      <c r="L500" s="82">
        <v>15000</v>
      </c>
      <c r="M500" s="82"/>
      <c r="N500" s="82">
        <v>15000</v>
      </c>
      <c r="O500" s="82">
        <v>30000</v>
      </c>
      <c r="P500" s="82"/>
      <c r="Q500" s="82"/>
      <c r="R500" s="82">
        <v>30000</v>
      </c>
      <c r="S500" s="23">
        <v>15000</v>
      </c>
      <c r="T500" s="23">
        <v>15000</v>
      </c>
      <c r="U500" s="23">
        <v>13597</v>
      </c>
      <c r="V500" s="79" t="s">
        <v>848</v>
      </c>
      <c r="W500" s="82">
        <f t="shared" si="105"/>
        <v>0</v>
      </c>
      <c r="Y500" s="4"/>
      <c r="Z500" s="4"/>
      <c r="AA500" s="82"/>
      <c r="AB500" s="82"/>
      <c r="AC500" s="82"/>
      <c r="AD500" s="23"/>
      <c r="AE500" s="7" t="s">
        <v>487</v>
      </c>
      <c r="AH500" s="23">
        <f>SUM('2021 Detail'!J482:U482)+SUM('2021 Detail'!AA482)</f>
        <v>147996</v>
      </c>
      <c r="AJ500" s="23">
        <f t="shared" si="106"/>
        <v>601</v>
      </c>
      <c r="AL500" t="str">
        <f t="shared" si="107"/>
        <v>Up</v>
      </c>
      <c r="AQ500" s="23">
        <v>17996</v>
      </c>
    </row>
    <row r="501" spans="1:43" x14ac:dyDescent="0.2">
      <c r="A501" s="226" t="s">
        <v>367</v>
      </c>
      <c r="B501" s="9" t="s">
        <v>495</v>
      </c>
      <c r="C501" s="9" t="s">
        <v>495</v>
      </c>
      <c r="D501" s="9">
        <v>0</v>
      </c>
      <c r="E501" s="9"/>
      <c r="F501" s="9" t="s">
        <v>495</v>
      </c>
      <c r="G501" s="83">
        <v>28785</v>
      </c>
      <c r="H501" s="83">
        <f t="shared" si="103"/>
        <v>28785</v>
      </c>
      <c r="I501" s="133">
        <f t="shared" si="104"/>
        <v>1</v>
      </c>
      <c r="J501" s="82">
        <v>2398.75</v>
      </c>
      <c r="K501" s="82">
        <v>2398.75</v>
      </c>
      <c r="L501" s="82">
        <v>2398.75</v>
      </c>
      <c r="M501" s="82">
        <v>2398.75</v>
      </c>
      <c r="N501" s="82">
        <v>2398.75</v>
      </c>
      <c r="O501" s="82">
        <v>2398.75</v>
      </c>
      <c r="P501" s="82">
        <v>2398.75</v>
      </c>
      <c r="Q501" s="82">
        <v>2398.75</v>
      </c>
      <c r="R501" s="82">
        <v>2398.75</v>
      </c>
      <c r="S501" s="23">
        <v>2398.75</v>
      </c>
      <c r="T501" s="23">
        <v>2398.75</v>
      </c>
      <c r="U501" s="23">
        <v>2398.75</v>
      </c>
      <c r="V501" s="79" t="s">
        <v>849</v>
      </c>
      <c r="W501" s="82">
        <f t="shared" si="105"/>
        <v>0</v>
      </c>
      <c r="Y501" s="4"/>
      <c r="Z501" s="4"/>
      <c r="AA501" s="82"/>
      <c r="AB501" s="82"/>
      <c r="AC501" s="82"/>
      <c r="AD501" s="23"/>
      <c r="AE501" s="7" t="s">
        <v>494</v>
      </c>
      <c r="AH501" s="23">
        <f>SUM('2021 Detail'!J483:U483)+SUM('2021 Detail'!AA483)</f>
        <v>28785</v>
      </c>
      <c r="AJ501" s="23">
        <f t="shared" si="106"/>
        <v>0</v>
      </c>
      <c r="AL501" t="str">
        <f t="shared" si="107"/>
        <v>Same</v>
      </c>
      <c r="AQ501" s="23">
        <v>878.5</v>
      </c>
    </row>
    <row r="502" spans="1:43" x14ac:dyDescent="0.2">
      <c r="A502" s="226" t="s">
        <v>368</v>
      </c>
      <c r="B502" s="9">
        <v>0</v>
      </c>
      <c r="C502" s="9" t="s">
        <v>495</v>
      </c>
      <c r="D502" s="9" t="s">
        <v>495</v>
      </c>
      <c r="E502" s="9"/>
      <c r="F502" s="9" t="s">
        <v>495</v>
      </c>
      <c r="G502" s="83">
        <v>12816</v>
      </c>
      <c r="H502" s="83">
        <f t="shared" si="103"/>
        <v>12816</v>
      </c>
      <c r="I502" s="133">
        <f t="shared" si="104"/>
        <v>1</v>
      </c>
      <c r="J502" s="82">
        <v>1068</v>
      </c>
      <c r="K502" s="82">
        <v>1068</v>
      </c>
      <c r="L502" s="82">
        <v>1068</v>
      </c>
      <c r="M502" s="82">
        <v>1068</v>
      </c>
      <c r="N502" s="82">
        <v>1068</v>
      </c>
      <c r="O502" s="82">
        <v>1068</v>
      </c>
      <c r="P502" s="82">
        <v>1068</v>
      </c>
      <c r="Q502" s="82">
        <v>1068</v>
      </c>
      <c r="R502" s="82">
        <v>1068</v>
      </c>
      <c r="S502" s="23">
        <v>1068</v>
      </c>
      <c r="T502" s="23">
        <v>1068</v>
      </c>
      <c r="U502" s="23">
        <v>1068</v>
      </c>
      <c r="V502" s="79" t="s">
        <v>850</v>
      </c>
      <c r="W502" s="82">
        <f t="shared" si="105"/>
        <v>0</v>
      </c>
      <c r="Y502" s="4"/>
      <c r="Z502" s="4"/>
      <c r="AA502" s="82"/>
      <c r="AB502" s="82"/>
      <c r="AC502" s="82"/>
      <c r="AD502" s="23"/>
      <c r="AE502" s="7" t="s">
        <v>494</v>
      </c>
      <c r="AH502" s="23">
        <f>SUM('2021 Detail'!J484:U484)+SUM('2021 Detail'!AA484)</f>
        <v>12816</v>
      </c>
      <c r="AJ502" s="23">
        <f t="shared" si="106"/>
        <v>0</v>
      </c>
      <c r="AL502" t="str">
        <f t="shared" si="107"/>
        <v>Same</v>
      </c>
      <c r="AQ502" s="23">
        <v>1068</v>
      </c>
    </row>
    <row r="503" spans="1:43" x14ac:dyDescent="0.2">
      <c r="A503" s="226" t="s">
        <v>369</v>
      </c>
      <c r="B503" s="9">
        <v>0</v>
      </c>
      <c r="C503" s="9" t="s">
        <v>495</v>
      </c>
      <c r="D503" s="9">
        <v>0</v>
      </c>
      <c r="E503" s="9"/>
      <c r="F503" s="9">
        <v>0</v>
      </c>
      <c r="G503" s="83">
        <v>6078</v>
      </c>
      <c r="H503" s="83">
        <f t="shared" si="103"/>
        <v>6078</v>
      </c>
      <c r="I503" s="133">
        <f t="shared" si="104"/>
        <v>1</v>
      </c>
      <c r="J503" s="82">
        <v>506.5</v>
      </c>
      <c r="K503" s="82">
        <v>506.5</v>
      </c>
      <c r="L503" s="82">
        <v>506.5</v>
      </c>
      <c r="M503" s="82">
        <v>506.5</v>
      </c>
      <c r="N503" s="82">
        <v>506.5</v>
      </c>
      <c r="O503" s="82">
        <v>506.5</v>
      </c>
      <c r="P503" s="82">
        <v>506.5</v>
      </c>
      <c r="Q503" s="82">
        <v>506.5</v>
      </c>
      <c r="R503" s="82">
        <v>506.5</v>
      </c>
      <c r="S503" s="23">
        <v>506.5</v>
      </c>
      <c r="T503" s="23">
        <v>506.5</v>
      </c>
      <c r="U503" s="23">
        <v>506.5</v>
      </c>
      <c r="V503" s="79" t="s">
        <v>851</v>
      </c>
      <c r="W503" s="82">
        <f t="shared" si="105"/>
        <v>0</v>
      </c>
      <c r="Y503" s="4"/>
      <c r="Z503" s="4"/>
      <c r="AA503" s="82"/>
      <c r="AB503" s="82"/>
      <c r="AC503" s="82"/>
      <c r="AD503" s="23"/>
      <c r="AE503" s="7" t="s">
        <v>494</v>
      </c>
      <c r="AH503" s="23">
        <f>SUM('2021 Detail'!J485:U485)+SUM('2021 Detail'!AA485)</f>
        <v>6078</v>
      </c>
      <c r="AJ503" s="23">
        <f t="shared" si="106"/>
        <v>0</v>
      </c>
      <c r="AL503" t="str">
        <f t="shared" si="107"/>
        <v>Same</v>
      </c>
      <c r="AQ503" s="23">
        <v>1828</v>
      </c>
    </row>
    <row r="504" spans="1:43" x14ac:dyDescent="0.2">
      <c r="A504" s="226" t="s">
        <v>370</v>
      </c>
      <c r="B504" s="9" t="s">
        <v>495</v>
      </c>
      <c r="C504" s="9" t="s">
        <v>495</v>
      </c>
      <c r="D504" s="9" t="s">
        <v>495</v>
      </c>
      <c r="E504" s="9"/>
      <c r="F504" s="9">
        <v>0</v>
      </c>
      <c r="G504" s="83">
        <v>25549</v>
      </c>
      <c r="H504" s="83">
        <f t="shared" si="103"/>
        <v>25549</v>
      </c>
      <c r="I504" s="133">
        <f t="shared" si="104"/>
        <v>1</v>
      </c>
      <c r="J504" s="82">
        <v>3549</v>
      </c>
      <c r="K504" s="82">
        <v>2000</v>
      </c>
      <c r="L504" s="82"/>
      <c r="M504" s="82">
        <v>2000</v>
      </c>
      <c r="N504" s="82"/>
      <c r="O504" s="82"/>
      <c r="P504" s="82"/>
      <c r="Q504" s="82"/>
      <c r="R504" s="82">
        <v>14000</v>
      </c>
      <c r="S504" s="23"/>
      <c r="T504" s="23">
        <v>2000</v>
      </c>
      <c r="U504" s="23">
        <v>2000</v>
      </c>
      <c r="V504" s="79" t="s">
        <v>852</v>
      </c>
      <c r="W504" s="82">
        <f t="shared" si="105"/>
        <v>0</v>
      </c>
      <c r="Y504" s="4"/>
      <c r="Z504" s="4"/>
      <c r="AA504" s="82"/>
      <c r="AB504" s="82"/>
      <c r="AC504" s="82"/>
      <c r="AD504" s="23"/>
      <c r="AE504" s="7" t="s">
        <v>488</v>
      </c>
      <c r="AH504" s="23">
        <f>SUM('2021 Detail'!J486:U486)+SUM('2021 Detail'!AA486)</f>
        <v>17899</v>
      </c>
      <c r="AJ504" s="23">
        <f t="shared" si="106"/>
        <v>7650</v>
      </c>
      <c r="AL504" t="str">
        <f t="shared" si="107"/>
        <v>Up</v>
      </c>
      <c r="AQ504" s="23">
        <v>2350</v>
      </c>
    </row>
    <row r="505" spans="1:43" x14ac:dyDescent="0.2">
      <c r="A505" s="226" t="s">
        <v>371</v>
      </c>
      <c r="B505" s="9">
        <v>0</v>
      </c>
      <c r="C505" s="9">
        <v>0</v>
      </c>
      <c r="D505" s="9">
        <v>0</v>
      </c>
      <c r="E505" s="9"/>
      <c r="F505" s="9" t="s">
        <v>638</v>
      </c>
      <c r="G505" s="83">
        <v>0</v>
      </c>
      <c r="H505" s="83">
        <f t="shared" si="103"/>
        <v>0</v>
      </c>
      <c r="I505" s="133">
        <v>0</v>
      </c>
      <c r="J505" s="82">
        <v>0</v>
      </c>
      <c r="K505" s="82"/>
      <c r="L505" s="82"/>
      <c r="M505" s="82"/>
      <c r="N505" s="82"/>
      <c r="O505" s="82"/>
      <c r="P505" s="82"/>
      <c r="Q505" s="82"/>
      <c r="R505" s="82"/>
      <c r="S505" s="23"/>
      <c r="T505" s="23"/>
      <c r="U505" s="23"/>
      <c r="V505" s="79" t="s">
        <v>853</v>
      </c>
      <c r="W505" s="82">
        <f t="shared" si="105"/>
        <v>0</v>
      </c>
      <c r="Y505" s="4"/>
      <c r="Z505" s="4"/>
      <c r="AA505" s="82"/>
      <c r="AB505" s="82"/>
      <c r="AC505" s="82"/>
      <c r="AD505" s="23"/>
      <c r="AE505" s="7" t="s">
        <v>485</v>
      </c>
      <c r="AH505" s="23">
        <f>SUM('2021 Detail'!J487:U487)+SUM('2021 Detail'!AA487)</f>
        <v>17553</v>
      </c>
      <c r="AJ505" s="23">
        <f t="shared" si="106"/>
        <v>-17553</v>
      </c>
      <c r="AL505" t="str">
        <f t="shared" si="107"/>
        <v>Down</v>
      </c>
    </row>
    <row r="506" spans="1:43" x14ac:dyDescent="0.2">
      <c r="B506" s="9"/>
      <c r="C506" s="9"/>
      <c r="E506" s="9"/>
      <c r="F506" s="9"/>
      <c r="I506" s="133"/>
      <c r="Y506" s="4"/>
      <c r="Z506" s="4"/>
      <c r="AA506" s="82"/>
      <c r="AB506" s="82"/>
      <c r="AC506" s="82"/>
      <c r="AD506" s="23"/>
      <c r="AJ506" s="23"/>
    </row>
    <row r="507" spans="1:43" x14ac:dyDescent="0.2">
      <c r="A507" s="226" t="s">
        <v>1142</v>
      </c>
      <c r="B507" s="9"/>
      <c r="C507" s="9"/>
      <c r="E507" s="9"/>
      <c r="F507" s="9"/>
      <c r="G507" s="83">
        <f>SUM(G479:G506)</f>
        <v>932405</v>
      </c>
      <c r="H507" s="83">
        <f>SUM(H479:H506)</f>
        <v>844892.28</v>
      </c>
      <c r="I507" s="133">
        <f t="shared" ref="I507:I508" si="108">ROUND((H507/G507),4)</f>
        <v>0.90610000000000002</v>
      </c>
      <c r="J507" s="83">
        <f t="shared" ref="J507:U507" si="109">SUM(J479:J506)</f>
        <v>74378.11</v>
      </c>
      <c r="K507" s="83">
        <f t="shared" si="109"/>
        <v>59427.49</v>
      </c>
      <c r="L507" s="83">
        <f t="shared" si="109"/>
        <v>79148.13</v>
      </c>
      <c r="M507" s="83">
        <f t="shared" si="109"/>
        <v>41107.130000000005</v>
      </c>
      <c r="N507" s="83">
        <f t="shared" si="109"/>
        <v>80709.540000000008</v>
      </c>
      <c r="O507" s="83">
        <f t="shared" si="109"/>
        <v>96351.46</v>
      </c>
      <c r="P507" s="83">
        <f t="shared" si="109"/>
        <v>48192.540000000008</v>
      </c>
      <c r="Q507" s="83">
        <f t="shared" si="109"/>
        <v>52015.540000000008</v>
      </c>
      <c r="R507" s="83">
        <f t="shared" si="109"/>
        <v>88209.540000000008</v>
      </c>
      <c r="S507" s="4">
        <f t="shared" si="109"/>
        <v>77265.540000000008</v>
      </c>
      <c r="T507" s="4">
        <f t="shared" si="109"/>
        <v>80407.13</v>
      </c>
      <c r="U507" s="4">
        <f t="shared" si="109"/>
        <v>61180.130000000005</v>
      </c>
      <c r="V507" s="77"/>
      <c r="W507" s="82">
        <f>SUM(W479:W506)</f>
        <v>87512.72</v>
      </c>
      <c r="Y507" s="4"/>
      <c r="Z507" s="4"/>
      <c r="AA507" s="83">
        <f>SUM(AA479:AA506)</f>
        <v>6500</v>
      </c>
      <c r="AB507" s="83">
        <f>SUM(AB479:AB506)</f>
        <v>0</v>
      </c>
      <c r="AC507" s="83">
        <f>SUM(AC479:AC506)</f>
        <v>0</v>
      </c>
      <c r="AD507" s="4"/>
      <c r="AH507" s="23">
        <f>SUM(AH479:AH506)</f>
        <v>832242.78</v>
      </c>
      <c r="AJ507" s="23">
        <f t="shared" si="106"/>
        <v>12649.5</v>
      </c>
      <c r="AM507" s="11">
        <f>SUM(J507:R507)+SUM(S508:U508)+SUM('2020 detail'!AA488:AC488)</f>
        <v>888680.20000000019</v>
      </c>
      <c r="AN507" s="24">
        <f>ROUND((AM507/G507),4)</f>
        <v>0.95309999999999995</v>
      </c>
      <c r="AO507" s="24">
        <f>ROUND((SUM(J508:U508)/G508),4)</f>
        <v>0.87609999999999999</v>
      </c>
      <c r="AQ507" s="23">
        <f>SUM(AQ479:AQ506)</f>
        <v>79136.240000000005</v>
      </c>
    </row>
    <row r="508" spans="1:43" x14ac:dyDescent="0.2">
      <c r="A508" s="253" t="s">
        <v>1056</v>
      </c>
      <c r="G508" s="206">
        <f>'2021 Detail'!G489</f>
        <v>932398</v>
      </c>
      <c r="H508" s="206">
        <f>SUM(J508:U508)+SUM(AA508:AC508)</f>
        <v>832842.78</v>
      </c>
      <c r="I508" s="207">
        <f t="shared" si="108"/>
        <v>0.89319999999999999</v>
      </c>
      <c r="J508" s="206">
        <f>'2021 Detail'!J489</f>
        <v>38949.279999999999</v>
      </c>
      <c r="K508" s="206">
        <f>'2021 Detail'!K489</f>
        <v>47211.83</v>
      </c>
      <c r="L508" s="206">
        <f>'2021 Detail'!L489</f>
        <v>59849.83</v>
      </c>
      <c r="M508" s="206">
        <f>'2021 Detail'!M489</f>
        <v>63187.33</v>
      </c>
      <c r="N508" s="206">
        <f>'2021 Detail'!N489</f>
        <v>62849.83</v>
      </c>
      <c r="O508" s="206">
        <f>'2021 Detail'!O489</f>
        <v>61667.240000000005</v>
      </c>
      <c r="P508" s="206">
        <f>'2021 Detail'!P489</f>
        <v>121368.49</v>
      </c>
      <c r="Q508" s="206">
        <f>'2021 Detail'!Q489</f>
        <v>45064.24</v>
      </c>
      <c r="R508" s="206">
        <f>'2021 Detail'!R489</f>
        <v>47575.740000000005</v>
      </c>
      <c r="S508" s="206">
        <f>'2021 Detail'!S489</f>
        <v>87974.24</v>
      </c>
      <c r="T508" s="206">
        <f>'2021 Detail'!T489</f>
        <v>102030.24</v>
      </c>
      <c r="U508" s="206">
        <f>'2021 Detail'!U489</f>
        <v>79136.240000000005</v>
      </c>
      <c r="V508" s="206"/>
      <c r="W508" s="206"/>
      <c r="X508" s="206"/>
      <c r="Y508" s="4"/>
      <c r="Z508" s="4"/>
      <c r="AA508" s="206">
        <f>'2021 Detail'!AA489</f>
        <v>15378.25</v>
      </c>
      <c r="AB508" s="206">
        <f>'2021 Detail'!AB489</f>
        <v>600</v>
      </c>
      <c r="AC508" s="206">
        <f>'2021 Detail'!AC489</f>
        <v>0</v>
      </c>
    </row>
    <row r="509" spans="1:43" x14ac:dyDescent="0.2">
      <c r="I509" s="133"/>
      <c r="Y509" s="4"/>
      <c r="Z509" s="4"/>
      <c r="AJ509" s="23"/>
    </row>
    <row r="510" spans="1:43" x14ac:dyDescent="0.2">
      <c r="A510" s="226" t="s">
        <v>1150</v>
      </c>
      <c r="G510" s="83">
        <f>G40+G84+G122+G162+G218+G263+G300+G328+G359+G406+G467+G507</f>
        <v>8116012</v>
      </c>
      <c r="H510" s="83">
        <f>H40+H84+H122+H162+H218+H263+H300+H328+H359+H406+H467+H507</f>
        <v>6559332.3399999999</v>
      </c>
      <c r="I510" s="133">
        <f t="shared" si="104"/>
        <v>0.80820000000000003</v>
      </c>
      <c r="J510" s="83">
        <f t="shared" ref="J510:U511" si="110">J40+J84+J122+J162+J218+J263+J300+J328+J359+J406+J467+J507</f>
        <v>378351.23</v>
      </c>
      <c r="K510" s="83">
        <f t="shared" si="110"/>
        <v>449442.02</v>
      </c>
      <c r="L510" s="83">
        <f t="shared" si="110"/>
        <v>517036.34</v>
      </c>
      <c r="M510" s="83">
        <f t="shared" si="110"/>
        <v>434875.54000000004</v>
      </c>
      <c r="N510" s="83">
        <f t="shared" si="110"/>
        <v>497786.23</v>
      </c>
      <c r="O510" s="83">
        <f t="shared" si="110"/>
        <v>599586.94000000006</v>
      </c>
      <c r="P510" s="83">
        <f t="shared" si="110"/>
        <v>498701.35</v>
      </c>
      <c r="Q510" s="83">
        <f t="shared" si="110"/>
        <v>538018.41999999993</v>
      </c>
      <c r="R510" s="83">
        <f t="shared" si="110"/>
        <v>551902.79</v>
      </c>
      <c r="S510" s="4">
        <f t="shared" si="110"/>
        <v>564217.18000000005</v>
      </c>
      <c r="T510" s="4">
        <f t="shared" si="110"/>
        <v>646111.05000000005</v>
      </c>
      <c r="U510" s="4">
        <f t="shared" si="110"/>
        <v>737258.44</v>
      </c>
      <c r="V510" s="80"/>
      <c r="W510" s="82">
        <f>W40+W84+W122+W162+W218+W263+W300+W328+W359+W406+W467+W507</f>
        <v>1556679.6599999997</v>
      </c>
      <c r="Y510" s="4"/>
      <c r="Z510" s="4"/>
      <c r="AA510" s="83">
        <f t="shared" ref="AA510:AC511" si="111">AA40+AA84+AA122+AA162+AA218+AA263+AA300+AA328+AA359+AA406+AA467+AA507</f>
        <v>98466.81</v>
      </c>
      <c r="AB510" s="83">
        <f t="shared" si="111"/>
        <v>47578</v>
      </c>
      <c r="AC510" s="83">
        <f t="shared" si="111"/>
        <v>0</v>
      </c>
      <c r="AD510" s="11"/>
      <c r="AH510" s="23">
        <f>AH40+AH84+AH122+AH162+AH218+AH263+AH300+AH328+AH359+AH406+AH467+AH507</f>
        <v>6554125.29</v>
      </c>
      <c r="AJ510" s="23">
        <f t="shared" si="106"/>
        <v>5207.0499999998137</v>
      </c>
      <c r="AM510" s="23">
        <f>AM40+AM84+AM122+AM162+AM218+AM263+AM300+AM328+AM359+AM406+AM467+AM507</f>
        <v>6541218.2799999993</v>
      </c>
      <c r="AN510" s="24">
        <f>ROUND((AM510/G510),4)</f>
        <v>0.80600000000000005</v>
      </c>
      <c r="AO510" s="24">
        <f>ROUND((SUM(J511:U511)/G511),4)</f>
        <v>0.7923</v>
      </c>
      <c r="AQ510" s="23">
        <f>AQ40+AQ84+AQ122+AQ162+AQ218+AQ263+AQ300+AQ328+AQ359+AQ406+AQ467+AQ507</f>
        <v>906986.78</v>
      </c>
    </row>
    <row r="511" spans="1:43" x14ac:dyDescent="0.2">
      <c r="A511" s="253" t="s">
        <v>1151</v>
      </c>
      <c r="G511" s="206">
        <f>G41+G85+G123+G163+G219+G264+G301+G329+G360+G407+G468+G508</f>
        <v>8132853</v>
      </c>
      <c r="H511" s="206">
        <f>H41+H85+H123+H163+H219+H264+H301+H329+H360+H407+H468+H508</f>
        <v>6587993.7700000005</v>
      </c>
      <c r="I511" s="207">
        <f>ROUND((H511/G511),4)</f>
        <v>0.81</v>
      </c>
      <c r="J511" s="206">
        <f t="shared" si="110"/>
        <v>340336.86</v>
      </c>
      <c r="K511" s="206">
        <f t="shared" si="110"/>
        <v>407387.73</v>
      </c>
      <c r="L511" s="206">
        <f t="shared" si="110"/>
        <v>497955.59</v>
      </c>
      <c r="M511" s="206">
        <f t="shared" si="110"/>
        <v>513800.89999999997</v>
      </c>
      <c r="N511" s="206">
        <f t="shared" si="110"/>
        <v>483760.16000000003</v>
      </c>
      <c r="O511" s="206">
        <f t="shared" si="110"/>
        <v>527451.71000000008</v>
      </c>
      <c r="P511" s="206">
        <f t="shared" si="110"/>
        <v>582882.6100000001</v>
      </c>
      <c r="Q511" s="206">
        <f t="shared" si="110"/>
        <v>489302.35</v>
      </c>
      <c r="R511" s="206">
        <f t="shared" si="110"/>
        <v>548459.72</v>
      </c>
      <c r="S511" s="206">
        <f t="shared" si="110"/>
        <v>527708.16999999993</v>
      </c>
      <c r="T511" s="206">
        <f t="shared" si="110"/>
        <v>616975.80999999994</v>
      </c>
      <c r="U511" s="206">
        <f t="shared" si="110"/>
        <v>907302.59</v>
      </c>
      <c r="V511" s="206"/>
      <c r="W511" s="206"/>
      <c r="X511" s="206"/>
      <c r="Y511" s="4"/>
      <c r="Z511" s="4"/>
      <c r="AA511" s="206">
        <f t="shared" si="111"/>
        <v>110801.09</v>
      </c>
      <c r="AB511" s="206">
        <f t="shared" si="111"/>
        <v>33868.480000000003</v>
      </c>
      <c r="AC511" s="206">
        <f t="shared" si="111"/>
        <v>0</v>
      </c>
      <c r="AM511">
        <f>ROUND((AM510*1.07),2)</f>
        <v>6999103.5599999996</v>
      </c>
    </row>
    <row r="512" spans="1:43" x14ac:dyDescent="0.2">
      <c r="Y512" s="4"/>
      <c r="Z512" s="4"/>
    </row>
    <row r="513" spans="1:43" ht="16.5" x14ac:dyDescent="0.25">
      <c r="B513" s="8"/>
      <c r="C513" s="8"/>
      <c r="E513" s="8"/>
      <c r="F513" s="8"/>
      <c r="G513" s="213" t="s">
        <v>1148</v>
      </c>
      <c r="H513" s="83">
        <f>G510-H510</f>
        <v>1556679.6600000001</v>
      </c>
      <c r="J513" s="83">
        <f>J510</f>
        <v>378351.23</v>
      </c>
      <c r="K513" s="15">
        <f>J513+K510</f>
        <v>827793.25</v>
      </c>
      <c r="L513" s="15">
        <f t="shared" ref="L513:U513" si="112">K513+L510</f>
        <v>1344829.59</v>
      </c>
      <c r="M513" s="15">
        <f t="shared" si="112"/>
        <v>1779705.1300000001</v>
      </c>
      <c r="N513" s="15">
        <f t="shared" si="112"/>
        <v>2277491.3600000003</v>
      </c>
      <c r="O513" s="15">
        <f t="shared" si="112"/>
        <v>2877078.3000000003</v>
      </c>
      <c r="P513" s="15">
        <f t="shared" si="112"/>
        <v>3375779.6500000004</v>
      </c>
      <c r="Q513" s="15">
        <f t="shared" si="112"/>
        <v>3913798.0700000003</v>
      </c>
      <c r="R513" s="15">
        <f t="shared" si="112"/>
        <v>4465700.8600000003</v>
      </c>
      <c r="S513" s="15">
        <f t="shared" si="112"/>
        <v>5029918.04</v>
      </c>
      <c r="T513" s="15">
        <f t="shared" si="112"/>
        <v>5676029.0899999999</v>
      </c>
      <c r="U513" s="15">
        <f t="shared" si="112"/>
        <v>6413287.5299999993</v>
      </c>
      <c r="Y513" s="4"/>
      <c r="Z513" s="4"/>
      <c r="AA513" s="15"/>
      <c r="AM513" s="23">
        <f>AM510-G510</f>
        <v>-1574793.7200000007</v>
      </c>
    </row>
    <row r="514" spans="1:43" x14ac:dyDescent="0.2">
      <c r="G514" s="214" t="s">
        <v>1060</v>
      </c>
      <c r="H514" s="83">
        <f>G511-H511</f>
        <v>1544859.2299999995</v>
      </c>
      <c r="J514" s="15"/>
      <c r="Y514" s="4"/>
      <c r="Z514" s="4"/>
      <c r="AK514" s="255" t="s">
        <v>1068</v>
      </c>
      <c r="AL514">
        <f>COUNTIF($AL$8:$AL$505,"Up")</f>
        <v>138</v>
      </c>
    </row>
    <row r="515" spans="1:43" ht="16.5" x14ac:dyDescent="0.25">
      <c r="A515" s="254"/>
      <c r="B515" s="8"/>
      <c r="C515" s="8"/>
      <c r="E515" s="8"/>
      <c r="F515" s="8"/>
      <c r="G515" s="199"/>
      <c r="I515" s="144"/>
      <c r="J515" s="82">
        <f>H513-3083554.96</f>
        <v>-1526875.2999999998</v>
      </c>
      <c r="K515" s="173"/>
      <c r="L515" s="173"/>
      <c r="M515" s="173"/>
      <c r="N515" s="173"/>
      <c r="O515" s="173"/>
      <c r="P515" s="173"/>
      <c r="Q515" s="173"/>
      <c r="R515" s="173"/>
      <c r="S515" s="2"/>
      <c r="T515" s="2"/>
      <c r="U515" s="2"/>
      <c r="Y515" s="4"/>
      <c r="Z515" s="4"/>
      <c r="AK515" s="255" t="s">
        <v>1069</v>
      </c>
      <c r="AL515">
        <f>COUNTIF($AL$8:$AL$505,"Down")</f>
        <v>96</v>
      </c>
    </row>
    <row r="516" spans="1:43" s="141" customFormat="1" ht="16.5" x14ac:dyDescent="0.25">
      <c r="A516" s="261"/>
      <c r="B516" s="262"/>
      <c r="C516" s="262"/>
      <c r="D516" s="263"/>
      <c r="E516" s="262"/>
      <c r="F516" s="262"/>
      <c r="G516" s="264"/>
      <c r="H516" s="264"/>
      <c r="I516" s="265"/>
      <c r="J516" s="264"/>
      <c r="K516" s="264"/>
      <c r="L516" s="264"/>
      <c r="M516" s="264"/>
      <c r="N516" s="264"/>
      <c r="O516" s="264"/>
      <c r="P516" s="264"/>
      <c r="Q516" s="264"/>
      <c r="R516" s="217"/>
      <c r="S516" s="142"/>
      <c r="T516" s="142"/>
      <c r="U516" s="142"/>
      <c r="V516" s="215"/>
      <c r="W516" s="218"/>
      <c r="X516" s="215"/>
      <c r="Y516" s="4"/>
      <c r="Z516" s="4"/>
      <c r="AA516" s="144"/>
      <c r="AB516" s="144"/>
      <c r="AC516" s="144"/>
      <c r="AE516" s="215"/>
      <c r="AK516" s="256" t="s">
        <v>1070</v>
      </c>
      <c r="AL516" s="141">
        <f>COUNTIF($AL$8:$AL$505,"Same")</f>
        <v>120</v>
      </c>
      <c r="AQ516" s="23"/>
    </row>
    <row r="517" spans="1:43" s="141" customFormat="1" ht="16.5" x14ac:dyDescent="0.25">
      <c r="A517" s="299"/>
      <c r="B517" s="299"/>
      <c r="C517" s="299"/>
      <c r="D517" s="299"/>
      <c r="E517" s="299"/>
      <c r="F517" s="299"/>
      <c r="G517" s="299"/>
      <c r="H517" s="299"/>
      <c r="I517" s="299"/>
      <c r="J517" s="299"/>
      <c r="K517" s="299"/>
      <c r="L517" s="299"/>
      <c r="M517" s="299"/>
      <c r="N517" s="299"/>
      <c r="O517" s="299"/>
      <c r="P517" s="299"/>
      <c r="Q517" s="264"/>
      <c r="R517" s="217"/>
      <c r="S517" s="142"/>
      <c r="T517" s="142"/>
      <c r="U517" s="142"/>
      <c r="V517" s="215"/>
      <c r="W517" s="218"/>
      <c r="X517" s="215"/>
      <c r="Y517" s="4"/>
      <c r="Z517" s="4"/>
      <c r="AA517" s="144"/>
      <c r="AB517" s="144"/>
      <c r="AC517" s="144"/>
      <c r="AE517" s="215"/>
      <c r="AQ517" s="23"/>
    </row>
    <row r="518" spans="1:43" s="144" customFormat="1" x14ac:dyDescent="0.2">
      <c r="A518" s="300">
        <v>2022</v>
      </c>
      <c r="B518" s="267"/>
      <c r="C518" s="267"/>
      <c r="D518" s="268"/>
      <c r="E518" s="267"/>
      <c r="F518" s="267"/>
      <c r="G518" s="267" t="s">
        <v>1097</v>
      </c>
      <c r="H518" s="285" t="s">
        <v>1098</v>
      </c>
      <c r="I518" s="285">
        <v>1</v>
      </c>
      <c r="J518" s="267" t="s">
        <v>1099</v>
      </c>
      <c r="K518" s="267" t="s">
        <v>1100</v>
      </c>
      <c r="L518" s="267" t="s">
        <v>1101</v>
      </c>
      <c r="M518" s="267" t="s">
        <v>1102</v>
      </c>
      <c r="N518" s="267" t="s">
        <v>1103</v>
      </c>
      <c r="O518" s="267" t="s">
        <v>1104</v>
      </c>
      <c r="P518" s="267" t="s">
        <v>1105</v>
      </c>
      <c r="Q518" s="267" t="s">
        <v>1106</v>
      </c>
      <c r="R518" s="218" t="s">
        <v>1107</v>
      </c>
      <c r="S518" s="218" t="s">
        <v>1108</v>
      </c>
      <c r="T518" s="219">
        <v>0</v>
      </c>
      <c r="U518" s="218" t="s">
        <v>1109</v>
      </c>
      <c r="V518" s="218"/>
      <c r="W518" s="237" t="s">
        <v>1211</v>
      </c>
      <c r="X518" s="218"/>
      <c r="Y518" s="4"/>
      <c r="Z518" s="4"/>
      <c r="AE518" s="218"/>
      <c r="AQ518" s="82"/>
    </row>
    <row r="519" spans="1:43" s="144" customFormat="1" x14ac:dyDescent="0.2">
      <c r="A519" s="301"/>
      <c r="B519" s="267"/>
      <c r="C519" s="267"/>
      <c r="D519" s="268"/>
      <c r="E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18"/>
      <c r="S519" s="218"/>
      <c r="U519" s="218"/>
      <c r="V519" s="218"/>
      <c r="X519" s="218"/>
      <c r="Y519" s="4"/>
      <c r="Z519" s="4"/>
      <c r="AE519" s="218"/>
      <c r="AL519" s="144">
        <f>SUM(AL514:AL518)</f>
        <v>354</v>
      </c>
      <c r="AQ519" s="82"/>
    </row>
    <row r="520" spans="1:43" s="144" customFormat="1" x14ac:dyDescent="0.2">
      <c r="A520" s="269" t="s">
        <v>880</v>
      </c>
      <c r="B520" s="267"/>
      <c r="C520" s="267"/>
      <c r="D520" s="268"/>
      <c r="E520" s="267"/>
      <c r="F520" s="267"/>
      <c r="G520" s="270">
        <f>COUNTA($H$8:$H$38)-U520</f>
        <v>30</v>
      </c>
      <c r="H520" s="270">
        <v>0</v>
      </c>
      <c r="I520" s="270">
        <f>COUNTIFS($I$8:$I$38,"1")</f>
        <v>12</v>
      </c>
      <c r="J520" s="270">
        <f>COUNTIFS($I$8:$I$38,"&gt;=.9")-H520-I520</f>
        <v>5</v>
      </c>
      <c r="K520" s="270">
        <f>COUNTIFS($I$8:$I$38,"&gt;=.8")-H520-I520-J520</f>
        <v>1</v>
      </c>
      <c r="L520" s="270">
        <f>COUNTIFS($I$8:$I$38,"&gt;=.7")-H520-I520-J520-K520</f>
        <v>3</v>
      </c>
      <c r="M520" s="270">
        <f>COUNTIFS($I$8:$I$38,"&gt;=.6")-H520-I520-J520-K520-L520</f>
        <v>5</v>
      </c>
      <c r="N520" s="270">
        <f>COUNTIFS($I$8:$I$38,"&gt;=.5")-H520-I520-J520-K520-L520-M520</f>
        <v>1</v>
      </c>
      <c r="O520" s="270">
        <f>COUNTIFS($I$8:$I$38,"&gt;=.4")-H520-I520-J520-K520-L520-M520-N520</f>
        <v>1</v>
      </c>
      <c r="P520" s="270">
        <f>COUNTIFS($I$8:$I$38,"&gt;=.3")-H520-I520-J520-K520-L520-M520-N520-O520</f>
        <v>2</v>
      </c>
      <c r="Q520" s="270">
        <f>COUNTIFS($I$8:$I$38,"&gt;=.2")-H520-I520-J520-K520-L520-M520-N520-O520-P520</f>
        <v>0</v>
      </c>
      <c r="R520" s="220">
        <f>COUNTIFS($I$8:$I$38,"&gt;=.1")-H520-I520-J520-K520-L520-M520-N520-O520-P520-Q520</f>
        <v>0</v>
      </c>
      <c r="S520" s="220">
        <f>COUNTIFS($I$8:$I$38,"&lt;=.1")</f>
        <v>1</v>
      </c>
      <c r="T520" s="220">
        <f>COUNTIFS($I$8:$I$38,"&lt;=0")</f>
        <v>0</v>
      </c>
      <c r="U520" s="220">
        <v>1</v>
      </c>
      <c r="V520" s="218"/>
      <c r="W520" s="220">
        <f>COUNTIFS($I$8:$I$38,"&gt;0.8082")</f>
        <v>18</v>
      </c>
      <c r="X520" s="218"/>
      <c r="Y520" s="4"/>
      <c r="Z520" s="4"/>
      <c r="AE520" s="218"/>
      <c r="AH520" s="144" t="s">
        <v>1206</v>
      </c>
      <c r="AQ520" s="82"/>
    </row>
    <row r="521" spans="1:43" s="144" customFormat="1" x14ac:dyDescent="0.2">
      <c r="A521" s="269" t="s">
        <v>862</v>
      </c>
      <c r="B521" s="267"/>
      <c r="C521" s="267"/>
      <c r="D521" s="268"/>
      <c r="E521" s="267"/>
      <c r="F521" s="267"/>
      <c r="G521" s="270">
        <f>COUNTA($H$52:$H$82)-U521</f>
        <v>31</v>
      </c>
      <c r="H521" s="270">
        <f>COUNTIFS($I$52:$I$82,"&gt;1")</f>
        <v>2</v>
      </c>
      <c r="I521" s="270">
        <f>COUNTIFS($I$52:$I$82,"1")</f>
        <v>17</v>
      </c>
      <c r="J521" s="270">
        <f>COUNTIFS($I$52:$I$82,"&gt;=.9")-H521-I521</f>
        <v>1</v>
      </c>
      <c r="K521" s="270">
        <f>COUNTIFS($I$52:$I$82,"&gt;=.8")-H521-I521-J521</f>
        <v>2</v>
      </c>
      <c r="L521" s="270">
        <f>COUNTIFS($I$52:$I$82,"&gt;=.7")-H521-I521-J521-K521</f>
        <v>1</v>
      </c>
      <c r="M521" s="270">
        <f>COUNTIFS($I$52:$I$82,"&gt;=.6")-H521-I521-J521-K521-L521</f>
        <v>2</v>
      </c>
      <c r="N521" s="270">
        <f>COUNTIFS($I$52:$I$82,"&gt;=.5")-H521-I521-J521-K521-L521-M521</f>
        <v>2</v>
      </c>
      <c r="O521" s="270">
        <f>COUNTIFS($I$52:$I$82,"&gt;=.4")-H521-I521-J521-K521-L521-M521-N521</f>
        <v>0</v>
      </c>
      <c r="P521" s="270">
        <f>COUNTIFS($I$52:$I$82,"&gt;=.3")-H521-I521-J521-K521-L521-M521-N521-O521</f>
        <v>3</v>
      </c>
      <c r="Q521" s="270">
        <f>COUNTIFS($I$52:$I$82,"&gt;=.2")-H521-I521-J521-K521-L521-M521-N521-O521-P521</f>
        <v>0</v>
      </c>
      <c r="R521" s="220">
        <f>COUNTIFS($I$52:$I$82,"&gt;=.1")-H521-I521-J521-K521-L521-M521-N521-O521-P521-Q521</f>
        <v>1</v>
      </c>
      <c r="S521" s="220">
        <f>COUNTIFS($I$52:$I$82,"&lt;.1")</f>
        <v>0</v>
      </c>
      <c r="T521" s="220">
        <f>COUNTIFS($I$52:$I$82,"&lt;=0")</f>
        <v>0</v>
      </c>
      <c r="U521" s="220">
        <v>0</v>
      </c>
      <c r="V521" s="218"/>
      <c r="W521" s="220">
        <f>COUNTIFS($I$52:$I$82,"&gt;0.8082")</f>
        <v>22</v>
      </c>
      <c r="X521" s="218"/>
      <c r="Y521" s="4"/>
      <c r="Z521" s="4"/>
      <c r="AE521" s="218"/>
      <c r="AQ521" s="82"/>
    </row>
    <row r="522" spans="1:43" s="144" customFormat="1" x14ac:dyDescent="0.2">
      <c r="A522" s="269" t="s">
        <v>863</v>
      </c>
      <c r="B522" s="267"/>
      <c r="C522" s="267"/>
      <c r="D522" s="268"/>
      <c r="E522" s="267"/>
      <c r="F522" s="267"/>
      <c r="G522" s="270">
        <f>COUNTA($H$96:$H$120)-U522</f>
        <v>25</v>
      </c>
      <c r="H522" s="270">
        <f>COUNTIFS($I$96:$I$120,"&gt;1")</f>
        <v>1</v>
      </c>
      <c r="I522" s="270">
        <f>COUNTIFS($I$96:$I$120,"1")</f>
        <v>15</v>
      </c>
      <c r="J522" s="270">
        <f>COUNTIFS($I$96:$I$120,"&gt;=.9")-H522-I522</f>
        <v>0</v>
      </c>
      <c r="K522" s="270">
        <f>COUNTIFS($I$96:$I$120,"&gt;=.8")-H522-I522-J522</f>
        <v>2</v>
      </c>
      <c r="L522" s="270">
        <f>COUNTIFS($I$96:$I$120,"&gt;=.7")-H522-I522-J522-K522</f>
        <v>2</v>
      </c>
      <c r="M522" s="270">
        <f>COUNTIFS($I$96:$I$120,"&gt;=.6")-H522-I522-J522-K522-L522</f>
        <v>1</v>
      </c>
      <c r="N522" s="270">
        <f>COUNTIFS($I$96:$I$120,"&gt;=.5")-H522-I522-J522-K522-L522-M522</f>
        <v>0</v>
      </c>
      <c r="O522" s="270">
        <f>COUNTIFS($I$96:$I$120,"&gt;=.4")-H522-I522-J522-K522-L522-M522-N522</f>
        <v>0</v>
      </c>
      <c r="P522" s="270">
        <f>COUNTIFS($I$96:$I$120,"&gt;=.3")-H522-I522-J522-K522-L522-M522-N522-O522</f>
        <v>1</v>
      </c>
      <c r="Q522" s="270">
        <f>COUNTIFS($I$96:$I$120,"&gt;=.2")-H522-I522-J522-K522-L522-M522-N522-O522-P522</f>
        <v>1</v>
      </c>
      <c r="R522" s="220">
        <f>COUNTIFS($I$96:$I$120,"&gt;=.1")-H522-I522-J522-K522-L522-M522-N522-O522-P522-Q522</f>
        <v>1</v>
      </c>
      <c r="S522" s="220">
        <f>COUNTIFS($I$96:$I$120,"&lt;.1")</f>
        <v>1</v>
      </c>
      <c r="T522" s="220">
        <f>COUNTIFS($I$96:$I$120,"&lt;=0")</f>
        <v>1</v>
      </c>
      <c r="U522" s="220">
        <v>0</v>
      </c>
      <c r="V522" s="218"/>
      <c r="W522" s="220">
        <f>COUNTIFS($I$96:$I$120,"&gt;0.8082")</f>
        <v>18</v>
      </c>
      <c r="X522" s="218"/>
      <c r="Y522" s="4"/>
      <c r="Z522" s="4"/>
      <c r="AE522" s="218"/>
      <c r="AQ522" s="82"/>
    </row>
    <row r="523" spans="1:43" s="144" customFormat="1" x14ac:dyDescent="0.2">
      <c r="A523" s="269" t="s">
        <v>864</v>
      </c>
      <c r="B523" s="267"/>
      <c r="C523" s="267"/>
      <c r="D523" s="268"/>
      <c r="E523" s="267"/>
      <c r="F523" s="267"/>
      <c r="G523" s="270">
        <f>COUNTA($H$134:$H$160)-U523</f>
        <v>26</v>
      </c>
      <c r="H523" s="270">
        <f>COUNTIFS($I$134:$I$160,"&gt;1")</f>
        <v>1</v>
      </c>
      <c r="I523" s="270">
        <f>COUNTIFS($I$134:$I$160,"1")</f>
        <v>5</v>
      </c>
      <c r="J523" s="270">
        <f>COUNTIFS($I$134:$I$160,"&gt;=.9")-H523-I523</f>
        <v>4</v>
      </c>
      <c r="K523" s="270">
        <f>COUNTIFS($I$134:$I$160,"&gt;=.8")-H523-I523-J523</f>
        <v>3</v>
      </c>
      <c r="L523" s="270">
        <f>COUNTIFS($I$134:$I$160,"&gt;=.7")-H523-I523-J523-K523</f>
        <v>0</v>
      </c>
      <c r="M523" s="270">
        <f>COUNTIFS($I$134:$I$160,"&gt;=.6")-H523-I523-J523-K523-L523</f>
        <v>2</v>
      </c>
      <c r="N523" s="270">
        <f>COUNTIFS($I$134:$I$160,"&gt;=.5")-H523-I523-J523-K523-L523-M523</f>
        <v>4</v>
      </c>
      <c r="O523" s="270">
        <f>COUNTIFS($I$134:$I$160,"&gt;=.4")-H523-I523-J523-K523-L523-M523-N523</f>
        <v>4</v>
      </c>
      <c r="P523" s="270">
        <f>COUNTIFS($I$134:$I$160,"&gt;=.3")-H523-I523-J523-K523-L523-M523-N523-O523</f>
        <v>1</v>
      </c>
      <c r="Q523" s="270">
        <f>COUNTIFS($I$134:$I$160,"&gt;=.2")-H523-I523-J523-K523-L523-M523-N523-O523-P523</f>
        <v>1</v>
      </c>
      <c r="R523" s="220">
        <f>COUNTIFS($I$134:$I$160,"&gt;=.1")-H523-I523-J523-K523-L523-M523-N523-O523-P523-Q523</f>
        <v>0</v>
      </c>
      <c r="S523" s="220">
        <f>COUNTIFS($I$134:$I$160,"&lt;.1")</f>
        <v>1</v>
      </c>
      <c r="T523" s="220">
        <f>COUNTIFS($I$134:$I$160,"&lt;=0")</f>
        <v>1</v>
      </c>
      <c r="U523" s="220">
        <v>1</v>
      </c>
      <c r="V523" s="218"/>
      <c r="W523" s="220">
        <f>COUNTIFS($I$134:$I$160,"&gt;0.8082")</f>
        <v>13</v>
      </c>
      <c r="X523" s="218"/>
      <c r="Y523" s="4"/>
      <c r="Z523" s="4"/>
      <c r="AE523" s="218"/>
      <c r="AH523" s="144" t="s">
        <v>1207</v>
      </c>
      <c r="AQ523" s="82"/>
    </row>
    <row r="524" spans="1:43" s="144" customFormat="1" x14ac:dyDescent="0.2">
      <c r="A524" s="269" t="s">
        <v>865</v>
      </c>
      <c r="B524" s="267"/>
      <c r="C524" s="267"/>
      <c r="D524" s="268"/>
      <c r="E524" s="267"/>
      <c r="F524" s="267"/>
      <c r="G524" s="270">
        <f>COUNTA($H$174:$H$216)-U524</f>
        <v>43</v>
      </c>
      <c r="H524" s="270">
        <f>COUNTIFS($I$174:$I$216,"&gt;1")</f>
        <v>0</v>
      </c>
      <c r="I524" s="270">
        <f>COUNTIFS($I$174:$I$216,"1")</f>
        <v>26</v>
      </c>
      <c r="J524" s="270">
        <f>COUNTIFS($I$174:$I$216,"&gt;=.9")-H524-I524</f>
        <v>1</v>
      </c>
      <c r="K524" s="270">
        <f>COUNTIFS($I$174:$I$216,"&gt;=.8")-H524-I524-J524</f>
        <v>1</v>
      </c>
      <c r="L524" s="270">
        <f>COUNTIFS($I$174:$I$216,"&gt;=.7")-H524-I524-J524-K524</f>
        <v>3</v>
      </c>
      <c r="M524" s="270">
        <f>COUNTIFS($I$174:$I$216,"&gt;=.6")-H524-I524-J524-K524-L524</f>
        <v>1</v>
      </c>
      <c r="N524" s="270">
        <f>COUNTIFS($I$174:$I$216,"&gt;=.5")-H524-I524-J524-K524-L524-M524</f>
        <v>2</v>
      </c>
      <c r="O524" s="270">
        <f>COUNTIFS($I$174:$I$216,"&gt;=.4")-H524-I524-J524-K524-L524-M524-N524</f>
        <v>1</v>
      </c>
      <c r="P524" s="270">
        <f>COUNTIFS($I$174:$I$216,"&gt;=.3")-H524-I524-J524-K524-L524-M524-N524-O524</f>
        <v>3</v>
      </c>
      <c r="Q524" s="270">
        <f>COUNTIFS($I$174:$I$216,"&gt;=.2")-H524-I524-J524-K524-L524-M524-N524-O524-P524</f>
        <v>0</v>
      </c>
      <c r="R524" s="220">
        <f>COUNTIFS($I$174:$I$216,"&gt;=.1")-H524-I524-J524-K524-L524-M524-N524-O524-P524-Q524</f>
        <v>1</v>
      </c>
      <c r="S524" s="220">
        <f>COUNTIFS($I$174:$I$216,"&lt;.1")</f>
        <v>4</v>
      </c>
      <c r="T524" s="220">
        <f>COUNTIFS($I$174:$I$216,"&lt;=0")</f>
        <v>1</v>
      </c>
      <c r="U524" s="220">
        <v>0</v>
      </c>
      <c r="V524" s="218"/>
      <c r="W524" s="220">
        <f>COUNTIFS($I$174:$I$216,"&gt;0.8082")</f>
        <v>28</v>
      </c>
      <c r="X524" s="218"/>
      <c r="Y524" s="4"/>
      <c r="Z524" s="4"/>
      <c r="AE524" s="218"/>
      <c r="AQ524" s="82"/>
    </row>
    <row r="525" spans="1:43" s="144" customFormat="1" x14ac:dyDescent="0.2">
      <c r="A525" s="269" t="s">
        <v>866</v>
      </c>
      <c r="B525" s="267"/>
      <c r="C525" s="267"/>
      <c r="D525" s="268"/>
      <c r="E525" s="267"/>
      <c r="F525" s="267"/>
      <c r="G525" s="270">
        <f>COUNTA($H$230:$H$261)-U525</f>
        <v>32</v>
      </c>
      <c r="H525" s="270">
        <f>COUNTIFS($I$230:$I$261,"&gt;1")</f>
        <v>0</v>
      </c>
      <c r="I525" s="270">
        <f>COUNTIFS($I$230:$I$261,"1")</f>
        <v>8</v>
      </c>
      <c r="J525" s="270">
        <f>COUNTIFS($I$230:$I$261,"&gt;=.9")-H525-I525</f>
        <v>3</v>
      </c>
      <c r="K525" s="270">
        <f>COUNTIFS($I$230:$I$261,"&gt;=.8")-H525-I525-J525</f>
        <v>4</v>
      </c>
      <c r="L525" s="270">
        <f>COUNTIFS($I$230:$I$261,"&gt;=.7")-H525-I525-J525-K525</f>
        <v>6</v>
      </c>
      <c r="M525" s="270">
        <f>COUNTIFS($I$230:$I$261,"&gt;=.6")-H525-I525-J525-K525-L525</f>
        <v>2</v>
      </c>
      <c r="N525" s="270">
        <f>COUNTIFS($I$230:$I$261,"&gt;=.5")-H525-I525-J525-K525-L525-M525</f>
        <v>0</v>
      </c>
      <c r="O525" s="270">
        <f>COUNTIFS($I$230:$I$261,"&gt;=.4")-H525-I525-J525-K525-L525-M525-N525</f>
        <v>1</v>
      </c>
      <c r="P525" s="270">
        <f>COUNTIFS($I$230:$I$261,"&gt;=.3")-H525-I525-J525-K525-L525-M525-N525-O525</f>
        <v>3</v>
      </c>
      <c r="Q525" s="270">
        <f>COUNTIFS($I$230:$I$261,"&gt;=.2")-H525-I525-J525-K525-L525-M525-N525-O525-P525</f>
        <v>2</v>
      </c>
      <c r="R525" s="220">
        <f>COUNTIFS($I$230:$I$261,"&gt;=.1")-H525-I525-J525-K525-L525-M525-N525-O525-P525-Q525</f>
        <v>2</v>
      </c>
      <c r="S525" s="220">
        <f>COUNTIFS($I$230:$I$261,"&lt;.1")</f>
        <v>1</v>
      </c>
      <c r="T525" s="220">
        <f>COUNTIFS($I$230:$I$261,"&lt;=0")</f>
        <v>0</v>
      </c>
      <c r="U525" s="220">
        <v>0</v>
      </c>
      <c r="V525" s="218"/>
      <c r="W525" s="220">
        <f>COUNTIFS($I$230:$I$261,"&gt;0.8082")</f>
        <v>14</v>
      </c>
      <c r="X525" s="218"/>
      <c r="Y525" s="4"/>
      <c r="Z525" s="4"/>
      <c r="AE525" s="218"/>
      <c r="AQ525" s="82"/>
    </row>
    <row r="526" spans="1:43" s="144" customFormat="1" x14ac:dyDescent="0.2">
      <c r="A526" s="269" t="s">
        <v>867</v>
      </c>
      <c r="B526" s="267"/>
      <c r="C526" s="267"/>
      <c r="D526" s="268"/>
      <c r="E526" s="267"/>
      <c r="F526" s="267"/>
      <c r="G526" s="270">
        <f>COUNTA($H$275:$H$298)-U526</f>
        <v>24</v>
      </c>
      <c r="H526" s="270">
        <f>COUNTIFS($I$275:$I$298,"&gt;1")</f>
        <v>1</v>
      </c>
      <c r="I526" s="270">
        <f>COUNTIFS($I$275:$I$298,"1")</f>
        <v>12</v>
      </c>
      <c r="J526" s="270">
        <f>COUNTIFS($I$275:$I$298,"&gt;=.9")-H526-I526</f>
        <v>0</v>
      </c>
      <c r="K526" s="270">
        <f>COUNTIFS($I$275:$I$298,"&gt;=.8")-H526-I526-J526</f>
        <v>1</v>
      </c>
      <c r="L526" s="270">
        <f>COUNTIFS($I$275:$I$298,"&gt;=.7")-H526-I526-J526-K526</f>
        <v>3</v>
      </c>
      <c r="M526" s="270">
        <f>COUNTIFS($I$275:$I$298,"&gt;=.6")-H526-I526-J526-K526-L526</f>
        <v>0</v>
      </c>
      <c r="N526" s="270">
        <f>COUNTIFS($I$275:$I$298,"&gt;=.5")-H526-I526-J526-K526-L526-M526</f>
        <v>2</v>
      </c>
      <c r="O526" s="270">
        <f>COUNTIFS($I$275:$I$298,"&gt;=.4")-H526-I526-J526-K526-L526-M526-N526</f>
        <v>2</v>
      </c>
      <c r="P526" s="270">
        <f>COUNTIFS($I$275:$I$298,"&gt;=.3")-H526-I526-J526-K526-L526-M526-N526-O526</f>
        <v>1</v>
      </c>
      <c r="Q526" s="270">
        <f>COUNTIFS($I$275:$I$298,"&gt;=.2")-H526-I526-J526-K526-L526-M526-N526-O526-P526</f>
        <v>0</v>
      </c>
      <c r="R526" s="220">
        <f>COUNTIFS($I$275:$I$298,"&gt;=.1")-H526-I526-J526-K526-L526-M526-N526-O526-P526-Q526</f>
        <v>0</v>
      </c>
      <c r="S526" s="220">
        <f>COUNTIFS($I$275:$I$298,"&lt;.1")</f>
        <v>2</v>
      </c>
      <c r="T526" s="220">
        <f>COUNTIFS($I$275:$I$298,"&lt;=0")</f>
        <v>2</v>
      </c>
      <c r="U526" s="220">
        <v>0</v>
      </c>
      <c r="V526" s="218"/>
      <c r="W526" s="220">
        <f>COUNTIFS($I$275:$I$298,"&gt;0.8082")</f>
        <v>14</v>
      </c>
      <c r="X526" s="218"/>
      <c r="Y526" s="4"/>
      <c r="Z526" s="4"/>
      <c r="AE526" s="218"/>
      <c r="AQ526" s="82"/>
    </row>
    <row r="527" spans="1:43" s="144" customFormat="1" x14ac:dyDescent="0.2">
      <c r="A527" s="269" t="s">
        <v>868</v>
      </c>
      <c r="B527" s="267"/>
      <c r="C527" s="267"/>
      <c r="D527" s="268"/>
      <c r="E527" s="267"/>
      <c r="F527" s="267"/>
      <c r="G527" s="270">
        <f>COUNTA($H$312:$H$326)-U527</f>
        <v>15</v>
      </c>
      <c r="H527" s="270">
        <f>COUNTIFS($I$312:$I$326,"&gt;1")</f>
        <v>1</v>
      </c>
      <c r="I527" s="270">
        <f>COUNTIFS($I$312:$I$326,"1")</f>
        <v>8</v>
      </c>
      <c r="J527" s="270">
        <f>COUNTIFS($I$312:$I$326,"&gt;=.9")-H527-I527</f>
        <v>0</v>
      </c>
      <c r="K527" s="270">
        <f>COUNTIFS($I$312:$I$326,"&gt;=.8")-H527-I527-J527</f>
        <v>1</v>
      </c>
      <c r="L527" s="270">
        <f>COUNTIFS($I$312:$I$326,"&gt;=.7")-H527-I527-J527-K527</f>
        <v>1</v>
      </c>
      <c r="M527" s="270">
        <f>COUNTIFS($I$312:$I$326,"&gt;=.6")-H527-I527-J527-K527-L527</f>
        <v>0</v>
      </c>
      <c r="N527" s="270">
        <f>COUNTIFS($I$312:$I$326,"&gt;=.5")-H527-I527-J527-K527-L527-M527</f>
        <v>0</v>
      </c>
      <c r="O527" s="270">
        <f>COUNTIFS($I$312:$I$326,"&gt;=.4")-H527-I527-J527-K527-L527-M527-N527</f>
        <v>3</v>
      </c>
      <c r="P527" s="270">
        <f>COUNTIFS($I$312:$I$326,"&gt;=.3")-H527-I527-J527-K527-L527-M527-N527-O527</f>
        <v>0</v>
      </c>
      <c r="Q527" s="270">
        <f>COUNTIFS($I$312:$I$326,"&gt;=.2")-H527-I527-J527-K527-L527-M527-N527-O527-P527</f>
        <v>0</v>
      </c>
      <c r="R527" s="220">
        <f>COUNTIFS($I$312:$I$326,"&gt;=.1")-H527-I527-J527-K527-L527-M527-N527-O527-P527-Q527</f>
        <v>1</v>
      </c>
      <c r="S527" s="220">
        <f>COUNTIFS($I$312:$I$326,"&lt;.1")</f>
        <v>0</v>
      </c>
      <c r="T527" s="220">
        <f>COUNTIFS($I$312:$I$326,"&lt;=0")</f>
        <v>0</v>
      </c>
      <c r="U527" s="220">
        <v>0</v>
      </c>
      <c r="V527" s="218"/>
      <c r="W527" s="220">
        <f>COUNTIFS($I$312:$I$326,"&gt;0.8082")</f>
        <v>9</v>
      </c>
      <c r="X527" s="218"/>
      <c r="Y527" s="4"/>
      <c r="Z527" s="4"/>
      <c r="AE527" s="218"/>
      <c r="AQ527" s="82"/>
    </row>
    <row r="528" spans="1:43" s="144" customFormat="1" x14ac:dyDescent="0.2">
      <c r="A528" s="269" t="s">
        <v>869</v>
      </c>
      <c r="B528" s="267"/>
      <c r="C528" s="267"/>
      <c r="D528" s="268"/>
      <c r="E528" s="267"/>
      <c r="F528" s="267"/>
      <c r="G528" s="270">
        <f>COUNTA($H$340:$H$357)-U528</f>
        <v>18</v>
      </c>
      <c r="H528" s="270">
        <f>COUNTIFS($I$340:$I$357,"&gt;1")</f>
        <v>1</v>
      </c>
      <c r="I528" s="270">
        <f>COUNTIFS($I$340:$I$357,"1")</f>
        <v>6</v>
      </c>
      <c r="J528" s="270">
        <f>COUNTIFS($I$340:$I$357,"&gt;=.9")-H528-I528</f>
        <v>0</v>
      </c>
      <c r="K528" s="270">
        <f>COUNTIFS($I$340:$I$357,"&gt;=.8")-H528-I528-J528</f>
        <v>0</v>
      </c>
      <c r="L528" s="270">
        <f>COUNTIFS($I$340:$I$357,"&gt;=.7")-H528-I528-J528-K528</f>
        <v>3</v>
      </c>
      <c r="M528" s="270">
        <f>COUNTIFS($I$340:$I$357,"&gt;=.6")-H528-I528-J528-K528-L528</f>
        <v>3</v>
      </c>
      <c r="N528" s="270">
        <f>COUNTIFS($I$340:$I$357,"&gt;=.5")-H528-I528-J528-K528-L528-M528</f>
        <v>3</v>
      </c>
      <c r="O528" s="270">
        <f>COUNTIFS($I$340:$I$357,"&gt;=.4")-H528-I528-J528-K528-L528-M528-N528</f>
        <v>0</v>
      </c>
      <c r="P528" s="270">
        <f>COUNTIFS($I$340:$I$357,"&gt;=.3")-H528-I528-J528-K528-L528-M528-N528-O528</f>
        <v>1</v>
      </c>
      <c r="Q528" s="270">
        <f>COUNTIFS($I$340:$I$357,"&gt;=.2")-H528-I528-J528-K528-L528-M528-N528-O528-P528</f>
        <v>0</v>
      </c>
      <c r="R528" s="220">
        <f>COUNTIFS($I$340:$I$357,"&gt;=.1")-H528-I528-J528-K528-L528-M528-N528-O528-P528-Q528</f>
        <v>0</v>
      </c>
      <c r="S528" s="220">
        <f>COUNTIFS($I$340:$I$357,"&lt;.1")</f>
        <v>1</v>
      </c>
      <c r="T528" s="220">
        <f>COUNTIFS($I$340:$I$357,"&lt;=0")</f>
        <v>1</v>
      </c>
      <c r="U528" s="220">
        <v>0</v>
      </c>
      <c r="V528" s="218"/>
      <c r="W528" s="220">
        <f>COUNTIFS($I$340:$I$357,"&gt;0.8082")</f>
        <v>7</v>
      </c>
      <c r="X528" s="218"/>
      <c r="Y528" s="4"/>
      <c r="Z528" s="4"/>
      <c r="AE528" s="218"/>
      <c r="AQ528" s="82"/>
    </row>
    <row r="529" spans="1:43" s="144" customFormat="1" x14ac:dyDescent="0.2">
      <c r="A529" s="269" t="s">
        <v>870</v>
      </c>
      <c r="B529" s="267"/>
      <c r="C529" s="267"/>
      <c r="D529" s="268"/>
      <c r="E529" s="267"/>
      <c r="F529" s="267"/>
      <c r="G529" s="270">
        <f>COUNTA($H$371:$H$404)-U529</f>
        <v>34</v>
      </c>
      <c r="H529" s="270">
        <f>COUNTIFS($I$371:$I$404,"&gt;1")</f>
        <v>1</v>
      </c>
      <c r="I529" s="270">
        <f>COUNTIFS($I$371:$I$404,"1")</f>
        <v>15</v>
      </c>
      <c r="J529" s="270">
        <f>COUNTIFS($I$371:$I$404,"&gt;=.9")-H529-I529</f>
        <v>1</v>
      </c>
      <c r="K529" s="270">
        <f>COUNTIFS($I$371:$I$404,"&gt;=.8")-H529-I529-J529</f>
        <v>2</v>
      </c>
      <c r="L529" s="270">
        <f>COUNTIFS($I$371:$I$404,"&gt;=.7")-H529-I529-J529-K529</f>
        <v>5</v>
      </c>
      <c r="M529" s="270">
        <f>COUNTIFS($I$371:$I$404,"&gt;=.6")-H529-I529-J529-K529-L529</f>
        <v>2</v>
      </c>
      <c r="N529" s="270">
        <f>COUNTIFS($I$371:$I$404,"&gt;=.5")-H529-I529-J529-K529-L529-M529</f>
        <v>3</v>
      </c>
      <c r="O529" s="270">
        <f>COUNTIFS($I$371:$I$404,"&gt;=.4")-H529-I529-J529-K529-L529-M529-N529</f>
        <v>1</v>
      </c>
      <c r="P529" s="270">
        <f>COUNTIFS($I$371:$I$404,"&gt;=.3")-H529-I529-J529-K529-L529-M529-N529-O529</f>
        <v>2</v>
      </c>
      <c r="Q529" s="270">
        <f>COUNTIFS($I$371:$I$404,"&gt;=.2")-H529-I529-J529-K529-L529-M529-N529-O529-P529</f>
        <v>1</v>
      </c>
      <c r="R529" s="220">
        <f>COUNTIFS($I$371:$I$404,"&gt;=.1")-H529-I529-J529-K529-L529-M529-N529-O529-P529-Q529</f>
        <v>0</v>
      </c>
      <c r="S529" s="220">
        <f>COUNTIFS($I$371:$I$404,"&lt;.1")</f>
        <v>1</v>
      </c>
      <c r="T529" s="220">
        <f>COUNTIFS($I$371:$I$404,"&lt;=0")</f>
        <v>1</v>
      </c>
      <c r="U529" s="220">
        <v>0</v>
      </c>
      <c r="V529" s="218"/>
      <c r="W529" s="220">
        <f>COUNTIFS($I$371:$I$404,"&gt;0.8082")</f>
        <v>18</v>
      </c>
      <c r="X529" s="218"/>
      <c r="Y529" s="4"/>
      <c r="Z529" s="4"/>
      <c r="AE529" s="218"/>
      <c r="AQ529" s="82"/>
    </row>
    <row r="530" spans="1:43" s="144" customFormat="1" x14ac:dyDescent="0.2">
      <c r="A530" s="269" t="s">
        <v>871</v>
      </c>
      <c r="B530" s="267"/>
      <c r="C530" s="267"/>
      <c r="D530" s="268"/>
      <c r="E530" s="267"/>
      <c r="F530" s="267"/>
      <c r="G530" s="270">
        <f>COUNTA($H$418:$H$464)-U530</f>
        <v>47</v>
      </c>
      <c r="H530" s="270">
        <f>COUNTIFS($I$418:$I$464,"&gt;1")</f>
        <v>4</v>
      </c>
      <c r="I530" s="270">
        <f>COUNTIFS($I$418:$I$464,"1")</f>
        <v>37</v>
      </c>
      <c r="J530" s="270">
        <f>COUNTIFS($I$418:$I$464,"&gt;=.9")-H530-I530</f>
        <v>0</v>
      </c>
      <c r="K530" s="270">
        <f>COUNTIFS($I$418:$I$464,"&gt;=.8")-H530-I530-J530</f>
        <v>0</v>
      </c>
      <c r="L530" s="270">
        <f>COUNTIFS($I$418:$I$464,"&gt;=.7")-H530-I530-J530-K530</f>
        <v>1</v>
      </c>
      <c r="M530" s="270">
        <f>COUNTIFS($I$418:$I$464,"&gt;=.6")-H530-I530-J530-K530-L530</f>
        <v>2</v>
      </c>
      <c r="N530" s="270">
        <f>COUNTIFS($I$418:$I$464,"&gt;=.5")-H530-I530-J530-K530-L530-M530</f>
        <v>1</v>
      </c>
      <c r="O530" s="270">
        <f>COUNTIFS($I$418:$I$464,"&gt;=.4")-H530-I530-J530-K530-L530-M530-N530</f>
        <v>0</v>
      </c>
      <c r="P530" s="270">
        <f>COUNTIFS($I$418:$I$464,"&gt;=.3")-H530-I530-J530-K530-L530-M530-N530-O530</f>
        <v>1</v>
      </c>
      <c r="Q530" s="270">
        <f>COUNTIFS($I$418:$I$464,"&gt;=.2")-H530-I530-J530-K530-L530-M530-N530-O530-P530</f>
        <v>0</v>
      </c>
      <c r="R530" s="220">
        <f>COUNTIFS($I$418:$I$464,"&gt;=.1")-H530-I530-J530-K530-L530-M530-N530-O530-P530-Q530</f>
        <v>0</v>
      </c>
      <c r="S530" s="220">
        <f>COUNTIFS($I$418:$I$464,"&lt;.1")</f>
        <v>1</v>
      </c>
      <c r="T530" s="220">
        <f>COUNTIFS($I$418:$I$464,"&lt;=0")</f>
        <v>1</v>
      </c>
      <c r="U530" s="220">
        <v>0</v>
      </c>
      <c r="V530" s="218"/>
      <c r="W530" s="220">
        <f>COUNTIFS($I$418:$I$464,"&gt;0.8082")</f>
        <v>41</v>
      </c>
      <c r="X530" s="218"/>
      <c r="Y530" s="4"/>
      <c r="Z530" s="4"/>
      <c r="AE530" s="218"/>
      <c r="AQ530" s="82"/>
    </row>
    <row r="531" spans="1:43" s="144" customFormat="1" x14ac:dyDescent="0.2">
      <c r="A531" s="269" t="s">
        <v>872</v>
      </c>
      <c r="B531" s="267"/>
      <c r="C531" s="267"/>
      <c r="D531" s="268"/>
      <c r="E531" s="267"/>
      <c r="F531" s="267"/>
      <c r="G531" s="270">
        <f>COUNTA($H$479:$H$505)-U531</f>
        <v>27</v>
      </c>
      <c r="H531" s="270">
        <f>COUNTIFS($I$479:$I$504,"&gt;1")</f>
        <v>1</v>
      </c>
      <c r="I531" s="270">
        <f>COUNTIFS($I$479:$I$504,"1")</f>
        <v>13</v>
      </c>
      <c r="J531" s="270">
        <f>COUNTIFS($I$479:$I$504,"&gt;=.9")-H531-I531</f>
        <v>2</v>
      </c>
      <c r="K531" s="270">
        <f>COUNTIFS($I$479:$I$504,"&gt;=.8")-H531-I531-J531</f>
        <v>2</v>
      </c>
      <c r="L531" s="270">
        <f>COUNTIFS($I$479:$I$504,"&gt;=.7")-H531-I531-J531-K531</f>
        <v>3</v>
      </c>
      <c r="M531" s="270">
        <f>COUNTIFS($I$479:$I$504,"&gt;=.6")-H531-I531-J531-K531-L531</f>
        <v>2</v>
      </c>
      <c r="N531" s="270">
        <f>COUNTIFS($I$479:$I$504,"&gt;=.5")-H531-I531-J531-K531-L531-M531</f>
        <v>0</v>
      </c>
      <c r="O531" s="270">
        <f>COUNTIFS($I$479:$I$504,"&gt;=.4")-H531-I531-J531-K531-L531-M531-N531</f>
        <v>2</v>
      </c>
      <c r="P531" s="270">
        <f>COUNTIFS($I$479:$I$504,"&gt;=.3")-H531-I531-J531-K531-L531-M531-N531-O531</f>
        <v>0</v>
      </c>
      <c r="Q531" s="270">
        <f>COUNTIFS($I$479:$I$504,"&gt;=.2")-H531-I531-J531-K531-L531-M531-N531-O531-P531</f>
        <v>0</v>
      </c>
      <c r="R531" s="220">
        <f>COUNTIFS($I$479:$I$504,"&gt;=.1")-H531-I531-J531-K531-L531-M531-N531-O531-P531-Q531</f>
        <v>1</v>
      </c>
      <c r="S531" s="220">
        <f>COUNTIFS($I$479:$I$504,"&lt;.1")</f>
        <v>0</v>
      </c>
      <c r="T531" s="220">
        <f>COUNTIFS($I$479:$I$504,"&lt;=0")</f>
        <v>0</v>
      </c>
      <c r="U531" s="220">
        <v>0</v>
      </c>
      <c r="V531" s="218"/>
      <c r="W531" s="220">
        <f>COUNTIFS($I$479:$I$505,"&gt;0.8082")</f>
        <v>17</v>
      </c>
      <c r="X531" s="218"/>
      <c r="Y531" s="4"/>
      <c r="Z531" s="4"/>
      <c r="AE531" s="218"/>
      <c r="AQ531" s="82"/>
    </row>
    <row r="532" spans="1:43" s="6" customFormat="1" x14ac:dyDescent="0.2">
      <c r="A532" s="266"/>
      <c r="B532" s="271"/>
      <c r="C532" s="271"/>
      <c r="D532" s="272"/>
      <c r="E532" s="271"/>
      <c r="F532" s="271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20"/>
      <c r="S532" s="220"/>
      <c r="T532" s="220"/>
      <c r="U532" s="220"/>
      <c r="V532" s="10"/>
      <c r="W532" s="220"/>
      <c r="X532" s="10"/>
      <c r="Y532" s="4"/>
      <c r="Z532" s="4"/>
      <c r="AE532" s="10"/>
      <c r="AQ532" s="82"/>
    </row>
    <row r="533" spans="1:43" s="6" customFormat="1" x14ac:dyDescent="0.2">
      <c r="A533" s="266"/>
      <c r="B533" s="271"/>
      <c r="C533" s="271"/>
      <c r="D533" s="272"/>
      <c r="E533" s="271"/>
      <c r="F533" s="271"/>
      <c r="G533" s="270">
        <f>SUM(G520:G532)</f>
        <v>352</v>
      </c>
      <c r="H533" s="270">
        <f t="shared" ref="H533:T533" si="113">SUM(H520:H532)</f>
        <v>13</v>
      </c>
      <c r="I533" s="270">
        <f t="shared" si="113"/>
        <v>174</v>
      </c>
      <c r="J533" s="270">
        <f t="shared" si="113"/>
        <v>17</v>
      </c>
      <c r="K533" s="270">
        <f t="shared" si="113"/>
        <v>19</v>
      </c>
      <c r="L533" s="270">
        <f t="shared" si="113"/>
        <v>31</v>
      </c>
      <c r="M533" s="270">
        <f t="shared" si="113"/>
        <v>22</v>
      </c>
      <c r="N533" s="270">
        <f t="shared" si="113"/>
        <v>18</v>
      </c>
      <c r="O533" s="270">
        <f t="shared" si="113"/>
        <v>15</v>
      </c>
      <c r="P533" s="270">
        <f t="shared" si="113"/>
        <v>18</v>
      </c>
      <c r="Q533" s="270">
        <f t="shared" si="113"/>
        <v>5</v>
      </c>
      <c r="R533" s="220">
        <f t="shared" si="113"/>
        <v>7</v>
      </c>
      <c r="S533" s="220">
        <f t="shared" si="113"/>
        <v>13</v>
      </c>
      <c r="T533" s="220">
        <f t="shared" si="113"/>
        <v>8</v>
      </c>
      <c r="U533" s="220">
        <f>SUM(U520:U532)</f>
        <v>2</v>
      </c>
      <c r="V533" s="10"/>
      <c r="W533" s="220">
        <f t="shared" ref="W533" si="114">SUM(W520:W532)</f>
        <v>219</v>
      </c>
      <c r="X533" s="10"/>
      <c r="Y533" s="4"/>
      <c r="Z533" s="4"/>
      <c r="AE533" s="10"/>
      <c r="AQ533" s="82"/>
    </row>
    <row r="534" spans="1:43" ht="15.75" thickBot="1" x14ac:dyDescent="0.25">
      <c r="A534" s="273"/>
      <c r="B534" s="274"/>
      <c r="C534" s="274"/>
      <c r="D534" s="275"/>
      <c r="E534" s="274"/>
      <c r="F534" s="274"/>
      <c r="G534" s="276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32"/>
      <c r="S534" s="228"/>
      <c r="T534" s="228"/>
      <c r="U534" s="228"/>
      <c r="W534" s="141"/>
      <c r="Y534" s="4"/>
      <c r="Z534" s="4"/>
    </row>
    <row r="535" spans="1:43" x14ac:dyDescent="0.2">
      <c r="A535" s="266"/>
      <c r="B535" s="278"/>
      <c r="C535" s="278"/>
      <c r="D535" s="279"/>
      <c r="E535" s="278"/>
      <c r="F535" s="278"/>
      <c r="G535" s="280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144"/>
      <c r="S535" s="141"/>
      <c r="T535" s="141"/>
      <c r="U535" s="141"/>
      <c r="W535" s="141"/>
      <c r="Y535" s="4"/>
      <c r="Z535" s="4"/>
    </row>
    <row r="536" spans="1:43" x14ac:dyDescent="0.2">
      <c r="A536" s="282">
        <v>2021</v>
      </c>
      <c r="B536" s="283"/>
      <c r="C536" s="283"/>
      <c r="D536" s="284"/>
      <c r="E536" s="283"/>
      <c r="F536" s="283"/>
      <c r="G536" s="267" t="s">
        <v>1097</v>
      </c>
      <c r="H536" s="285" t="s">
        <v>1098</v>
      </c>
      <c r="I536" s="285">
        <v>1</v>
      </c>
      <c r="J536" s="267" t="s">
        <v>1099</v>
      </c>
      <c r="K536" s="267" t="s">
        <v>1100</v>
      </c>
      <c r="L536" s="267" t="s">
        <v>1101</v>
      </c>
      <c r="M536" s="267" t="s">
        <v>1102</v>
      </c>
      <c r="N536" s="267" t="s">
        <v>1103</v>
      </c>
      <c r="O536" s="267" t="s">
        <v>1104</v>
      </c>
      <c r="P536" s="267" t="s">
        <v>1105</v>
      </c>
      <c r="Q536" s="267" t="s">
        <v>1106</v>
      </c>
      <c r="R536" s="218" t="s">
        <v>1107</v>
      </c>
      <c r="S536" s="218" t="s">
        <v>1108</v>
      </c>
      <c r="T536" s="219">
        <v>0</v>
      </c>
      <c r="U536" s="218" t="s">
        <v>1109</v>
      </c>
      <c r="W536" s="237" t="s">
        <v>1212</v>
      </c>
      <c r="Y536" s="4"/>
      <c r="Z536" s="4"/>
    </row>
    <row r="537" spans="1:43" x14ac:dyDescent="0.2">
      <c r="A537" s="266"/>
      <c r="B537" s="283"/>
      <c r="C537" s="283"/>
      <c r="D537" s="284"/>
      <c r="E537" s="283"/>
      <c r="F537" s="283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15"/>
      <c r="S537" s="215"/>
      <c r="U537" s="215"/>
      <c r="W537"/>
      <c r="Y537" s="4"/>
      <c r="Z537" s="4"/>
    </row>
    <row r="538" spans="1:43" x14ac:dyDescent="0.2">
      <c r="A538" s="269" t="s">
        <v>880</v>
      </c>
      <c r="B538" s="283"/>
      <c r="C538" s="283"/>
      <c r="D538" s="284"/>
      <c r="E538" s="283"/>
      <c r="F538" s="283"/>
      <c r="G538" s="270">
        <v>30</v>
      </c>
      <c r="H538" s="270">
        <v>0</v>
      </c>
      <c r="I538" s="270">
        <v>9</v>
      </c>
      <c r="J538" s="270">
        <v>0</v>
      </c>
      <c r="K538" s="270">
        <v>7</v>
      </c>
      <c r="L538" s="270">
        <v>3</v>
      </c>
      <c r="M538" s="270">
        <v>2</v>
      </c>
      <c r="N538" s="270">
        <v>3</v>
      </c>
      <c r="O538" s="270">
        <v>1</v>
      </c>
      <c r="P538" s="270">
        <v>2</v>
      </c>
      <c r="Q538" s="270">
        <v>2</v>
      </c>
      <c r="R538" s="220">
        <v>0</v>
      </c>
      <c r="S538" s="220">
        <v>1</v>
      </c>
      <c r="T538" s="220">
        <v>0</v>
      </c>
      <c r="U538" s="220">
        <v>0</v>
      </c>
      <c r="W538" s="7">
        <v>16</v>
      </c>
      <c r="Y538" s="4"/>
      <c r="Z538" s="4"/>
    </row>
    <row r="539" spans="1:43" x14ac:dyDescent="0.2">
      <c r="A539" s="269" t="s">
        <v>862</v>
      </c>
      <c r="B539" s="283"/>
      <c r="C539" s="283"/>
      <c r="D539" s="284"/>
      <c r="E539" s="283"/>
      <c r="F539" s="283"/>
      <c r="G539" s="270">
        <v>31</v>
      </c>
      <c r="H539" s="270">
        <v>2</v>
      </c>
      <c r="I539" s="270">
        <v>13</v>
      </c>
      <c r="J539" s="270">
        <v>1</v>
      </c>
      <c r="K539" s="270">
        <v>0</v>
      </c>
      <c r="L539" s="270">
        <v>4</v>
      </c>
      <c r="M539" s="270">
        <v>2</v>
      </c>
      <c r="N539" s="270">
        <v>2</v>
      </c>
      <c r="O539" s="270">
        <v>3</v>
      </c>
      <c r="P539" s="270">
        <v>1</v>
      </c>
      <c r="Q539" s="270">
        <v>1</v>
      </c>
      <c r="R539" s="220">
        <v>0</v>
      </c>
      <c r="S539" s="220">
        <v>2</v>
      </c>
      <c r="T539" s="220">
        <v>0</v>
      </c>
      <c r="U539" s="220">
        <v>0</v>
      </c>
      <c r="W539" s="7">
        <v>16</v>
      </c>
      <c r="Y539" s="4"/>
      <c r="Z539" s="4"/>
    </row>
    <row r="540" spans="1:43" x14ac:dyDescent="0.2">
      <c r="A540" s="269" t="s">
        <v>863</v>
      </c>
      <c r="B540" s="283"/>
      <c r="C540" s="283"/>
      <c r="D540" s="284"/>
      <c r="E540" s="283"/>
      <c r="F540" s="283"/>
      <c r="G540" s="270">
        <v>25</v>
      </c>
      <c r="H540" s="270">
        <v>0</v>
      </c>
      <c r="I540" s="270">
        <v>13</v>
      </c>
      <c r="J540" s="270">
        <v>2</v>
      </c>
      <c r="K540" s="270">
        <v>1</v>
      </c>
      <c r="L540" s="270">
        <v>1</v>
      </c>
      <c r="M540" s="270">
        <v>0</v>
      </c>
      <c r="N540" s="270">
        <v>3</v>
      </c>
      <c r="O540" s="270">
        <v>0</v>
      </c>
      <c r="P540" s="270">
        <v>2</v>
      </c>
      <c r="Q540" s="270">
        <v>1</v>
      </c>
      <c r="R540" s="220">
        <v>2</v>
      </c>
      <c r="S540" s="220">
        <v>0</v>
      </c>
      <c r="T540" s="220">
        <v>0</v>
      </c>
      <c r="U540" s="220">
        <v>2</v>
      </c>
      <c r="W540" s="7">
        <v>16</v>
      </c>
      <c r="Y540" s="4"/>
      <c r="Z540" s="4"/>
    </row>
    <row r="541" spans="1:43" x14ac:dyDescent="0.2">
      <c r="A541" s="269" t="s">
        <v>864</v>
      </c>
      <c r="B541" s="283"/>
      <c r="C541" s="283"/>
      <c r="D541" s="284"/>
      <c r="E541" s="283"/>
      <c r="F541" s="283"/>
      <c r="G541" s="270">
        <v>26</v>
      </c>
      <c r="H541" s="270">
        <v>0</v>
      </c>
      <c r="I541" s="270">
        <v>7</v>
      </c>
      <c r="J541" s="270">
        <v>0</v>
      </c>
      <c r="K541" s="270">
        <v>4</v>
      </c>
      <c r="L541" s="270">
        <v>4</v>
      </c>
      <c r="M541" s="270">
        <v>3</v>
      </c>
      <c r="N541" s="270">
        <v>3</v>
      </c>
      <c r="O541" s="270">
        <v>2</v>
      </c>
      <c r="P541" s="270">
        <v>2</v>
      </c>
      <c r="Q541" s="270">
        <v>1</v>
      </c>
      <c r="R541" s="220">
        <v>0</v>
      </c>
      <c r="S541" s="220">
        <v>0</v>
      </c>
      <c r="T541" s="220">
        <v>0</v>
      </c>
      <c r="U541" s="220">
        <v>1</v>
      </c>
      <c r="W541" s="7">
        <v>10</v>
      </c>
    </row>
    <row r="542" spans="1:43" x14ac:dyDescent="0.2">
      <c r="A542" s="269" t="s">
        <v>865</v>
      </c>
      <c r="B542" s="283"/>
      <c r="C542" s="283"/>
      <c r="D542" s="284"/>
      <c r="E542" s="283"/>
      <c r="F542" s="283"/>
      <c r="G542" s="270">
        <v>43</v>
      </c>
      <c r="H542" s="270">
        <v>1</v>
      </c>
      <c r="I542" s="270">
        <v>27</v>
      </c>
      <c r="J542" s="270">
        <v>0</v>
      </c>
      <c r="K542" s="270">
        <v>0</v>
      </c>
      <c r="L542" s="270">
        <v>2</v>
      </c>
      <c r="M542" s="270">
        <v>1</v>
      </c>
      <c r="N542" s="270">
        <v>2</v>
      </c>
      <c r="O542" s="270">
        <v>2</v>
      </c>
      <c r="P542" s="270">
        <v>4</v>
      </c>
      <c r="Q542" s="270">
        <v>3</v>
      </c>
      <c r="R542" s="220">
        <v>0</v>
      </c>
      <c r="S542" s="220">
        <v>1</v>
      </c>
      <c r="T542" s="220">
        <v>1</v>
      </c>
      <c r="U542" s="220">
        <v>1</v>
      </c>
      <c r="W542" s="7">
        <v>28</v>
      </c>
    </row>
    <row r="543" spans="1:43" x14ac:dyDescent="0.2">
      <c r="A543" s="269" t="s">
        <v>866</v>
      </c>
      <c r="B543" s="283"/>
      <c r="C543" s="283"/>
      <c r="D543" s="284"/>
      <c r="E543" s="283"/>
      <c r="F543" s="283"/>
      <c r="G543" s="270">
        <v>32</v>
      </c>
      <c r="H543" s="270">
        <v>1</v>
      </c>
      <c r="I543" s="270">
        <v>8</v>
      </c>
      <c r="J543" s="270">
        <v>1</v>
      </c>
      <c r="K543" s="270">
        <v>5</v>
      </c>
      <c r="L543" s="270">
        <v>5</v>
      </c>
      <c r="M543" s="270">
        <v>1</v>
      </c>
      <c r="N543" s="270">
        <v>3</v>
      </c>
      <c r="O543" s="270">
        <v>3</v>
      </c>
      <c r="P543" s="270">
        <v>2</v>
      </c>
      <c r="Q543" s="270">
        <v>1</v>
      </c>
      <c r="R543" s="220">
        <v>1</v>
      </c>
      <c r="S543" s="220">
        <v>1</v>
      </c>
      <c r="T543" s="220">
        <v>1</v>
      </c>
      <c r="U543" s="220">
        <v>0</v>
      </c>
      <c r="W543" s="7">
        <v>13</v>
      </c>
    </row>
    <row r="544" spans="1:43" x14ac:dyDescent="0.2">
      <c r="A544" s="269" t="s">
        <v>867</v>
      </c>
      <c r="B544" s="283"/>
      <c r="C544" s="283"/>
      <c r="D544" s="284"/>
      <c r="E544" s="283"/>
      <c r="F544" s="283"/>
      <c r="G544" s="270">
        <v>24</v>
      </c>
      <c r="H544" s="270">
        <v>1</v>
      </c>
      <c r="I544" s="270">
        <v>10</v>
      </c>
      <c r="J544" s="270">
        <v>1</v>
      </c>
      <c r="K544" s="270">
        <v>2</v>
      </c>
      <c r="L544" s="270">
        <v>2</v>
      </c>
      <c r="M544" s="270">
        <v>0</v>
      </c>
      <c r="N544" s="270">
        <v>3</v>
      </c>
      <c r="O544" s="270">
        <v>1</v>
      </c>
      <c r="P544" s="270">
        <v>1</v>
      </c>
      <c r="Q544" s="270">
        <v>1</v>
      </c>
      <c r="R544" s="220">
        <v>2</v>
      </c>
      <c r="S544" s="220">
        <v>0</v>
      </c>
      <c r="T544" s="220">
        <v>0</v>
      </c>
      <c r="U544" s="220">
        <v>0</v>
      </c>
      <c r="W544" s="7">
        <v>14</v>
      </c>
    </row>
    <row r="545" spans="1:23" x14ac:dyDescent="0.2">
      <c r="A545" s="269" t="s">
        <v>868</v>
      </c>
      <c r="B545" s="283"/>
      <c r="C545" s="283"/>
      <c r="D545" s="284"/>
      <c r="E545" s="283"/>
      <c r="F545" s="283"/>
      <c r="G545" s="270">
        <v>15</v>
      </c>
      <c r="H545" s="270">
        <v>0</v>
      </c>
      <c r="I545" s="270">
        <v>9</v>
      </c>
      <c r="J545" s="270">
        <v>1</v>
      </c>
      <c r="K545" s="270">
        <v>0</v>
      </c>
      <c r="L545" s="270">
        <v>1</v>
      </c>
      <c r="M545" s="270">
        <v>1</v>
      </c>
      <c r="N545" s="270">
        <v>1</v>
      </c>
      <c r="O545" s="270">
        <v>0</v>
      </c>
      <c r="P545" s="270">
        <v>1</v>
      </c>
      <c r="Q545" s="270">
        <v>1</v>
      </c>
      <c r="R545" s="220">
        <v>0</v>
      </c>
      <c r="S545" s="220">
        <v>0</v>
      </c>
      <c r="T545" s="220">
        <v>0</v>
      </c>
      <c r="U545" s="220">
        <v>0</v>
      </c>
      <c r="W545" s="7">
        <v>10</v>
      </c>
    </row>
    <row r="546" spans="1:23" x14ac:dyDescent="0.2">
      <c r="A546" s="269" t="s">
        <v>869</v>
      </c>
      <c r="B546" s="283"/>
      <c r="C546" s="283"/>
      <c r="D546" s="284"/>
      <c r="E546" s="283"/>
      <c r="F546" s="283"/>
      <c r="G546" s="270">
        <v>18</v>
      </c>
      <c r="H546" s="270">
        <v>1</v>
      </c>
      <c r="I546" s="270">
        <v>6</v>
      </c>
      <c r="J546" s="270">
        <v>0</v>
      </c>
      <c r="K546" s="270">
        <v>1</v>
      </c>
      <c r="L546" s="270">
        <v>4</v>
      </c>
      <c r="M546" s="270">
        <v>2</v>
      </c>
      <c r="N546" s="270">
        <v>1</v>
      </c>
      <c r="O546" s="270">
        <v>1</v>
      </c>
      <c r="P546" s="270">
        <v>0</v>
      </c>
      <c r="Q546" s="270">
        <v>0</v>
      </c>
      <c r="R546" s="220">
        <v>0</v>
      </c>
      <c r="S546" s="220">
        <v>2</v>
      </c>
      <c r="T546" s="220">
        <v>1</v>
      </c>
      <c r="U546" s="221">
        <v>0</v>
      </c>
      <c r="W546" s="7">
        <v>8</v>
      </c>
    </row>
    <row r="547" spans="1:23" x14ac:dyDescent="0.2">
      <c r="A547" s="269" t="s">
        <v>870</v>
      </c>
      <c r="B547" s="283"/>
      <c r="C547" s="283"/>
      <c r="D547" s="284"/>
      <c r="E547" s="283"/>
      <c r="F547" s="283"/>
      <c r="G547" s="270">
        <v>34</v>
      </c>
      <c r="H547" s="270">
        <v>1</v>
      </c>
      <c r="I547" s="270">
        <v>15</v>
      </c>
      <c r="J547" s="270">
        <v>5</v>
      </c>
      <c r="K547" s="270">
        <v>0</v>
      </c>
      <c r="L547" s="270">
        <v>4</v>
      </c>
      <c r="M547" s="270">
        <v>2</v>
      </c>
      <c r="N547" s="270">
        <v>1</v>
      </c>
      <c r="O547" s="270">
        <v>4</v>
      </c>
      <c r="P547" s="270">
        <v>1</v>
      </c>
      <c r="Q547" s="270">
        <v>0</v>
      </c>
      <c r="R547" s="220">
        <v>0</v>
      </c>
      <c r="S547" s="220">
        <v>1</v>
      </c>
      <c r="T547" s="220">
        <v>1</v>
      </c>
      <c r="U547" s="221">
        <v>1</v>
      </c>
      <c r="W547" s="7">
        <v>21</v>
      </c>
    </row>
    <row r="548" spans="1:23" x14ac:dyDescent="0.2">
      <c r="A548" s="269" t="s">
        <v>871</v>
      </c>
      <c r="B548" s="283"/>
      <c r="C548" s="283"/>
      <c r="D548" s="284"/>
      <c r="E548" s="283"/>
      <c r="F548" s="283"/>
      <c r="G548" s="270">
        <v>47</v>
      </c>
      <c r="H548" s="270">
        <v>11</v>
      </c>
      <c r="I548" s="270">
        <v>28</v>
      </c>
      <c r="J548" s="270">
        <v>0</v>
      </c>
      <c r="K548" s="270">
        <v>0</v>
      </c>
      <c r="L548" s="270">
        <v>2</v>
      </c>
      <c r="M548" s="270">
        <v>1</v>
      </c>
      <c r="N548" s="270">
        <v>2</v>
      </c>
      <c r="O548" s="270">
        <v>1</v>
      </c>
      <c r="P548" s="270">
        <v>0</v>
      </c>
      <c r="Q548" s="270">
        <v>0</v>
      </c>
      <c r="R548" s="220">
        <v>0</v>
      </c>
      <c r="S548" s="220">
        <v>2</v>
      </c>
      <c r="T548" s="220">
        <v>2</v>
      </c>
      <c r="U548" s="221">
        <v>0</v>
      </c>
      <c r="W548" s="7">
        <v>39</v>
      </c>
    </row>
    <row r="549" spans="1:23" x14ac:dyDescent="0.2">
      <c r="A549" s="269" t="s">
        <v>872</v>
      </c>
      <c r="B549" s="283"/>
      <c r="C549" s="283"/>
      <c r="D549" s="284"/>
      <c r="E549" s="283"/>
      <c r="F549" s="283"/>
      <c r="G549" s="270">
        <v>27</v>
      </c>
      <c r="H549" s="270">
        <v>2</v>
      </c>
      <c r="I549" s="270">
        <v>14</v>
      </c>
      <c r="J549" s="270">
        <v>0</v>
      </c>
      <c r="K549" s="270">
        <v>1</v>
      </c>
      <c r="L549" s="270">
        <v>2</v>
      </c>
      <c r="M549" s="270">
        <v>3</v>
      </c>
      <c r="N549" s="270">
        <v>3</v>
      </c>
      <c r="O549" s="270">
        <v>0</v>
      </c>
      <c r="P549" s="270">
        <v>0</v>
      </c>
      <c r="Q549" s="270">
        <v>0</v>
      </c>
      <c r="R549" s="220">
        <v>2</v>
      </c>
      <c r="S549" s="220">
        <v>0</v>
      </c>
      <c r="T549" s="220">
        <v>0</v>
      </c>
      <c r="U549" s="221">
        <v>1</v>
      </c>
      <c r="W549" s="7">
        <v>17</v>
      </c>
    </row>
    <row r="550" spans="1:23" x14ac:dyDescent="0.2">
      <c r="A550" s="266"/>
      <c r="B550" s="278"/>
      <c r="C550" s="278"/>
      <c r="D550" s="279"/>
      <c r="E550" s="278"/>
      <c r="F550" s="278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21"/>
      <c r="S550" s="221"/>
      <c r="U550" s="221"/>
      <c r="W550" s="7"/>
    </row>
    <row r="551" spans="1:23" x14ac:dyDescent="0.2">
      <c r="A551" s="266"/>
      <c r="B551" s="278"/>
      <c r="C551" s="278"/>
      <c r="D551" s="279"/>
      <c r="E551" s="278"/>
      <c r="F551" s="278"/>
      <c r="G551" s="270">
        <v>352</v>
      </c>
      <c r="H551" s="270">
        <v>20</v>
      </c>
      <c r="I551" s="270">
        <v>159</v>
      </c>
      <c r="J551" s="270">
        <v>11</v>
      </c>
      <c r="K551" s="270">
        <v>21</v>
      </c>
      <c r="L551" s="270">
        <v>34</v>
      </c>
      <c r="M551" s="270">
        <v>18</v>
      </c>
      <c r="N551" s="270">
        <v>27</v>
      </c>
      <c r="O551" s="270">
        <v>18</v>
      </c>
      <c r="P551" s="270">
        <v>16</v>
      </c>
      <c r="Q551" s="270">
        <v>11</v>
      </c>
      <c r="R551" s="220">
        <v>7</v>
      </c>
      <c r="S551" s="220">
        <v>10</v>
      </c>
      <c r="T551" s="220">
        <v>6</v>
      </c>
      <c r="U551" s="220">
        <v>6</v>
      </c>
      <c r="W551" s="7">
        <v>208</v>
      </c>
    </row>
    <row r="552" spans="1:23" x14ac:dyDescent="0.2">
      <c r="A552" s="298"/>
      <c r="B552" s="298"/>
      <c r="C552" s="298"/>
      <c r="D552" s="298"/>
      <c r="E552" s="298"/>
      <c r="F552" s="298"/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</row>
    <row r="553" spans="1:23" x14ac:dyDescent="0.2">
      <c r="A553" s="290"/>
      <c r="B553" s="290"/>
      <c r="C553" s="290"/>
      <c r="D553" s="290"/>
      <c r="E553" s="290"/>
      <c r="F553" s="290"/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</row>
    <row r="554" spans="1:23" x14ac:dyDescent="0.2">
      <c r="A554" s="261"/>
      <c r="B554" s="286"/>
      <c r="C554" s="286"/>
      <c r="D554" s="287"/>
      <c r="E554" s="286"/>
      <c r="F554" s="286"/>
      <c r="G554" s="288"/>
      <c r="H554" s="289"/>
      <c r="I554" s="290"/>
      <c r="J554" s="290"/>
      <c r="K554" s="290"/>
      <c r="L554" s="290"/>
      <c r="M554" s="290"/>
      <c r="N554" s="290"/>
      <c r="O554" s="290"/>
      <c r="P554" s="290"/>
      <c r="Q554" s="290"/>
    </row>
    <row r="555" spans="1:23" x14ac:dyDescent="0.2">
      <c r="A555" s="261"/>
      <c r="B555" s="286"/>
      <c r="C555" s="286"/>
      <c r="D555" s="287"/>
      <c r="E555" s="286"/>
      <c r="F555" s="286"/>
      <c r="G555" s="288"/>
      <c r="H555" s="289"/>
      <c r="I555" s="290"/>
      <c r="J555" s="290"/>
      <c r="K555" s="290"/>
      <c r="L555" s="290"/>
      <c r="M555" s="290"/>
      <c r="N555" s="290"/>
      <c r="O555" s="290"/>
      <c r="P555" s="290"/>
      <c r="Q555" s="290"/>
    </row>
    <row r="556" spans="1:23" x14ac:dyDescent="0.2">
      <c r="A556" s="261"/>
      <c r="B556" s="286"/>
      <c r="C556" s="286"/>
      <c r="D556" s="287"/>
      <c r="E556" s="286"/>
      <c r="F556" s="286"/>
      <c r="G556" s="288"/>
      <c r="H556" s="289"/>
      <c r="I556" s="290"/>
      <c r="J556" s="290"/>
      <c r="K556" s="290"/>
      <c r="L556" s="290"/>
      <c r="M556" s="290"/>
      <c r="N556" s="290"/>
      <c r="O556" s="290"/>
      <c r="P556" s="290"/>
      <c r="Q556" s="290"/>
    </row>
  </sheetData>
  <conditionalFormatting sqref="AJ96:AJ122 AJ174:AJ218 AJ371:AJ406 AJ479:AJ507 AJ8:AJ40 AJ134:AJ162">
    <cfRule type="expression" dxfId="99" priority="37">
      <formula>IF((H8&lt;AH8),1,0)</formula>
    </cfRule>
    <cfRule type="expression" dxfId="98" priority="38">
      <formula>IF((H8&gt;AH8),1,0)</formula>
    </cfRule>
  </conditionalFormatting>
  <conditionalFormatting sqref="AJ52:AJ84">
    <cfRule type="expression" dxfId="97" priority="35">
      <formula>IF((H52&lt;AH52),1,0)</formula>
    </cfRule>
    <cfRule type="expression" dxfId="96" priority="36">
      <formula>IF((H52&gt;AH52),1,0)</formula>
    </cfRule>
  </conditionalFormatting>
  <conditionalFormatting sqref="AJ230:AJ263">
    <cfRule type="expression" dxfId="95" priority="33">
      <formula>IF((H230&lt;AH230),1,0)</formula>
    </cfRule>
    <cfRule type="expression" dxfId="94" priority="34">
      <formula>IF((H230&gt;AH230),1,0)</formula>
    </cfRule>
  </conditionalFormatting>
  <conditionalFormatting sqref="AJ275:AJ300">
    <cfRule type="expression" dxfId="93" priority="31">
      <formula>IF((H275&lt;AH275),1,0)</formula>
    </cfRule>
    <cfRule type="expression" dxfId="92" priority="32">
      <formula>IF((H275&gt;AH275),1,0)</formula>
    </cfRule>
  </conditionalFormatting>
  <conditionalFormatting sqref="AJ312:AJ328">
    <cfRule type="expression" dxfId="91" priority="29">
      <formula>IF((H312&lt;AH312),1,0)</formula>
    </cfRule>
    <cfRule type="expression" dxfId="90" priority="30">
      <formula>IF((H312&gt;AH312),1,0)</formula>
    </cfRule>
  </conditionalFormatting>
  <conditionalFormatting sqref="AJ340:AJ359">
    <cfRule type="expression" dxfId="89" priority="27">
      <formula>IF((H340&lt;AH340),1,0)</formula>
    </cfRule>
    <cfRule type="expression" dxfId="88" priority="28">
      <formula>IF((H340&gt;AH340),1,0)</formula>
    </cfRule>
  </conditionalFormatting>
  <conditionalFormatting sqref="AJ418:AJ467">
    <cfRule type="expression" dxfId="87" priority="25">
      <formula>IF((H418&lt;AH418),1,0)</formula>
    </cfRule>
    <cfRule type="expression" dxfId="86" priority="26">
      <formula>IF((H418&gt;AH418),1,0)</formula>
    </cfRule>
  </conditionalFormatting>
  <conditionalFormatting sqref="AJ509:AJ510">
    <cfRule type="expression" dxfId="85" priority="23">
      <formula>IF((H509&lt;AH509),1,0)</formula>
    </cfRule>
    <cfRule type="expression" dxfId="84" priority="24">
      <formula>IF((H509&gt;AH509),1,0)</formula>
    </cfRule>
  </conditionalFormatting>
  <conditionalFormatting sqref="AJ43">
    <cfRule type="expression" dxfId="83" priority="21">
      <formula>IF((H43&lt;AH43),1,0)</formula>
    </cfRule>
    <cfRule type="expression" dxfId="82" priority="22">
      <formula>IF((H43&gt;AH43),1,0)</formula>
    </cfRule>
  </conditionalFormatting>
  <conditionalFormatting sqref="AJ87">
    <cfRule type="expression" dxfId="81" priority="19">
      <formula>IF((H87&lt;AH87),1,0)</formula>
    </cfRule>
    <cfRule type="expression" dxfId="80" priority="20">
      <formula>IF((H87&gt;AH87),1,0)</formula>
    </cfRule>
  </conditionalFormatting>
  <conditionalFormatting sqref="AJ125">
    <cfRule type="expression" dxfId="79" priority="17">
      <formula>IF((H125&lt;AH125),1,0)</formula>
    </cfRule>
    <cfRule type="expression" dxfId="78" priority="18">
      <formula>IF((H125&gt;AH125),1,0)</formula>
    </cfRule>
  </conditionalFormatting>
  <conditionalFormatting sqref="AJ165">
    <cfRule type="expression" dxfId="77" priority="15">
      <formula>IF((H165&lt;AH165),1,0)</formula>
    </cfRule>
    <cfRule type="expression" dxfId="76" priority="16">
      <formula>IF((H165&gt;AH165),1,0)</formula>
    </cfRule>
  </conditionalFormatting>
  <conditionalFormatting sqref="AJ221">
    <cfRule type="expression" dxfId="75" priority="13">
      <formula>IF((H221&lt;AH221),1,0)</formula>
    </cfRule>
    <cfRule type="expression" dxfId="74" priority="14">
      <formula>IF((H221&gt;AH221),1,0)</formula>
    </cfRule>
  </conditionalFormatting>
  <conditionalFormatting sqref="AJ266">
    <cfRule type="expression" dxfId="73" priority="11">
      <formula>IF((H266&lt;AH266),1,0)</formula>
    </cfRule>
    <cfRule type="expression" dxfId="72" priority="12">
      <formula>IF((H266&gt;AH266),1,0)</formula>
    </cfRule>
  </conditionalFormatting>
  <conditionalFormatting sqref="AJ303">
    <cfRule type="expression" dxfId="71" priority="9">
      <formula>IF((H303&lt;AH303),1,0)</formula>
    </cfRule>
    <cfRule type="expression" dxfId="70" priority="10">
      <formula>IF((H303&gt;AH303),1,0)</formula>
    </cfRule>
  </conditionalFormatting>
  <conditionalFormatting sqref="AJ331">
    <cfRule type="expression" dxfId="69" priority="7">
      <formula>IF((H331&lt;AH331),1,0)</formula>
    </cfRule>
    <cfRule type="expression" dxfId="68" priority="8">
      <formula>IF((H331&gt;AH331),1,0)</formula>
    </cfRule>
  </conditionalFormatting>
  <conditionalFormatting sqref="AJ362">
    <cfRule type="expression" dxfId="67" priority="5">
      <formula>IF((H362&lt;AH362),1,0)</formula>
    </cfRule>
    <cfRule type="expression" dxfId="66" priority="6">
      <formula>IF((H362&gt;AH362),1,0)</formula>
    </cfRule>
  </conditionalFormatting>
  <conditionalFormatting sqref="AJ409">
    <cfRule type="expression" dxfId="65" priority="3">
      <formula>IF((H409&lt;AH409),1,0)</formula>
    </cfRule>
    <cfRule type="expression" dxfId="64" priority="4">
      <formula>IF((H409&gt;AH409),1,0)</formula>
    </cfRule>
  </conditionalFormatting>
  <conditionalFormatting sqref="AJ470">
    <cfRule type="expression" dxfId="63" priority="1">
      <formula>IF((H470&lt;AH470),1,0)</formula>
    </cfRule>
    <cfRule type="expression" dxfId="62" priority="2">
      <formula>IF((H470&gt;AH470),1,0)</formula>
    </cfRule>
  </conditionalFormatting>
  <printOptions horizontalCentered="1" gridLines="1"/>
  <pageMargins left="0.15748031496062992" right="0.11811023622047245" top="0.39370078740157483" bottom="0" header="0" footer="0"/>
  <pageSetup paperSize="9" scale="37" orientation="landscape" r:id="rId1"/>
  <rowBreaks count="11" manualBreakCount="11">
    <brk id="44" max="16383" man="1"/>
    <brk id="88" max="37" man="1"/>
    <brk id="126" max="37" man="1"/>
    <brk id="166" max="16383" man="1"/>
    <brk id="222" max="37" man="1"/>
    <brk id="267" max="37" man="1"/>
    <brk id="304" max="37" man="1"/>
    <brk id="332" max="37" man="1"/>
    <brk id="363" max="37" man="1"/>
    <brk id="410" max="37" man="1"/>
    <brk id="47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2"/>
  <sheetViews>
    <sheetView tabSelected="1" zoomScale="80" zoomScaleNormal="80" workbookViewId="0"/>
  </sheetViews>
  <sheetFormatPr defaultRowHeight="15" x14ac:dyDescent="0.2"/>
  <cols>
    <col min="1" max="1" width="35.77734375" style="226" bestFit="1" customWidth="1"/>
    <col min="2" max="3" width="4.88671875" style="7" hidden="1" customWidth="1"/>
    <col min="4" max="4" width="5.77734375" style="9" hidden="1" customWidth="1"/>
    <col min="5" max="5" width="1.33203125" style="7" hidden="1" customWidth="1"/>
    <col min="6" max="6" width="7.33203125" style="7" hidden="1" customWidth="1"/>
    <col min="7" max="7" width="15.77734375" style="21" customWidth="1"/>
    <col min="8" max="8" width="13.6640625" style="15" customWidth="1"/>
    <col min="9" max="9" width="8.6640625" style="6" customWidth="1"/>
    <col min="10" max="10" width="12.44140625" style="6" bestFit="1" customWidth="1"/>
    <col min="11" max="11" width="12.88671875" style="6" customWidth="1"/>
    <col min="12" max="18" width="12.33203125" style="6" customWidth="1"/>
    <col min="19" max="20" width="12.33203125" customWidth="1"/>
    <col min="21" max="21" width="12.33203125" bestFit="1" customWidth="1"/>
    <col min="22" max="22" width="8.21875" style="7" customWidth="1"/>
    <col min="23" max="23" width="12.109375" style="81" customWidth="1"/>
    <col min="24" max="24" width="3.6640625" style="7" customWidth="1"/>
    <col min="25" max="25" width="7.21875" style="7" hidden="1" customWidth="1"/>
    <col min="26" max="26" width="5.77734375" style="7" hidden="1" customWidth="1"/>
    <col min="27" max="27" width="11.88671875" style="6" customWidth="1"/>
    <col min="28" max="28" width="11.77734375" style="6" customWidth="1"/>
    <col min="29" max="29" width="7.6640625" style="6" hidden="1" customWidth="1"/>
    <col min="30" max="30" width="2.6640625" customWidth="1"/>
    <col min="31" max="31" width="10.6640625" style="7" customWidth="1"/>
    <col min="32" max="32" width="3.77734375" hidden="1" customWidth="1"/>
    <col min="33" max="33" width="3.6640625" customWidth="1"/>
    <col min="34" max="34" width="13.21875" customWidth="1"/>
    <col min="35" max="35" width="1.6640625" customWidth="1"/>
    <col min="36" max="36" width="12.33203125" customWidth="1"/>
    <col min="37" max="37" width="2.77734375" customWidth="1"/>
    <col min="38" max="38" width="8.88671875" customWidth="1"/>
    <col min="39" max="39" width="13" customWidth="1"/>
    <col min="40" max="41" width="8.88671875" customWidth="1"/>
    <col min="42" max="42" width="5.77734375" customWidth="1"/>
    <col min="43" max="43" width="10.44140625" style="23" customWidth="1"/>
    <col min="44" max="44" width="8.88671875" customWidth="1"/>
    <col min="45" max="45" width="9.5546875" customWidth="1"/>
    <col min="46" max="46" width="11.88671875" customWidth="1"/>
    <col min="47" max="47" width="8.88671875" customWidth="1"/>
    <col min="48" max="48" width="10.88671875" customWidth="1"/>
    <col min="49" max="51" width="8.88671875" customWidth="1"/>
  </cols>
  <sheetData>
    <row r="1" spans="1:43" ht="15.75" x14ac:dyDescent="0.25">
      <c r="G1" s="196" t="s">
        <v>0</v>
      </c>
      <c r="H1" s="197"/>
      <c r="I1" s="198"/>
      <c r="J1" s="194"/>
      <c r="K1" s="194"/>
      <c r="L1" s="194"/>
      <c r="M1" s="194"/>
      <c r="N1" s="194"/>
      <c r="O1" s="194"/>
      <c r="P1" s="194"/>
      <c r="Q1" s="194"/>
      <c r="R1" s="194"/>
      <c r="S1" s="3"/>
      <c r="T1" s="3"/>
      <c r="U1" s="3"/>
      <c r="AH1" s="171" t="s">
        <v>1136</v>
      </c>
      <c r="AI1" s="172"/>
      <c r="AJ1" s="171" t="s">
        <v>1064</v>
      </c>
    </row>
    <row r="2" spans="1:43" x14ac:dyDescent="0.2">
      <c r="AH2" s="171" t="s">
        <v>1137</v>
      </c>
      <c r="AI2" s="172"/>
      <c r="AJ2" s="171" t="s">
        <v>1138</v>
      </c>
    </row>
    <row r="3" spans="1:43" ht="16.5" x14ac:dyDescent="0.25">
      <c r="A3" s="250"/>
      <c r="G3" s="199" t="s">
        <v>1208</v>
      </c>
      <c r="H3" s="200"/>
      <c r="W3" s="6"/>
      <c r="X3"/>
      <c r="Y3"/>
      <c r="Z3"/>
      <c r="AA3"/>
      <c r="AB3"/>
      <c r="AC3"/>
      <c r="AH3" s="172"/>
      <c r="AI3" s="172"/>
      <c r="AJ3" s="171" t="s">
        <v>1139</v>
      </c>
    </row>
    <row r="4" spans="1:43" x14ac:dyDescent="0.2">
      <c r="A4" s="250"/>
      <c r="W4" s="6"/>
      <c r="X4"/>
      <c r="Y4"/>
      <c r="Z4"/>
      <c r="AA4"/>
      <c r="AB4"/>
      <c r="AC4"/>
    </row>
    <row r="5" spans="1:43" ht="16.5" x14ac:dyDescent="0.25">
      <c r="A5" s="251" t="s">
        <v>1</v>
      </c>
      <c r="B5" s="145" t="s">
        <v>2</v>
      </c>
      <c r="C5" s="145" t="s">
        <v>3</v>
      </c>
      <c r="D5" s="149" t="s">
        <v>1039</v>
      </c>
      <c r="E5" s="145"/>
      <c r="F5" s="145" t="s">
        <v>1038</v>
      </c>
      <c r="G5" s="201" t="s">
        <v>1143</v>
      </c>
      <c r="H5" s="202" t="s">
        <v>1144</v>
      </c>
      <c r="I5" s="203" t="s">
        <v>1043</v>
      </c>
      <c r="J5" s="173">
        <v>44592</v>
      </c>
      <c r="K5" s="173">
        <v>44620</v>
      </c>
      <c r="L5" s="173">
        <v>44651</v>
      </c>
      <c r="M5" s="173">
        <v>44681</v>
      </c>
      <c r="N5" s="173">
        <v>44712</v>
      </c>
      <c r="O5" s="173">
        <v>44742</v>
      </c>
      <c r="P5" s="173">
        <v>44773</v>
      </c>
      <c r="Q5" s="173">
        <v>44804</v>
      </c>
      <c r="R5" s="173">
        <v>44834</v>
      </c>
      <c r="S5" s="173">
        <v>44865</v>
      </c>
      <c r="T5" s="173">
        <v>44895</v>
      </c>
      <c r="U5" s="173">
        <v>44926</v>
      </c>
      <c r="W5" s="193" t="s">
        <v>1044</v>
      </c>
      <c r="X5"/>
      <c r="Y5"/>
      <c r="Z5"/>
      <c r="AA5" s="2">
        <v>44957</v>
      </c>
      <c r="AB5" s="2">
        <v>44985</v>
      </c>
      <c r="AC5" s="2">
        <v>45016</v>
      </c>
      <c r="AD5" s="292"/>
      <c r="AE5" s="16" t="s">
        <v>378</v>
      </c>
      <c r="AH5" s="16" t="s">
        <v>1141</v>
      </c>
      <c r="AJ5" s="170" t="s">
        <v>1140</v>
      </c>
      <c r="AQ5" s="227">
        <v>44588</v>
      </c>
    </row>
    <row r="6" spans="1:43" ht="16.5" x14ac:dyDescent="0.25">
      <c r="A6" s="251"/>
      <c r="B6" s="8"/>
      <c r="C6" s="8"/>
      <c r="E6" s="8"/>
      <c r="F6" s="8"/>
      <c r="G6" s="201" t="s">
        <v>1040</v>
      </c>
      <c r="H6" s="202" t="s">
        <v>1040</v>
      </c>
      <c r="I6" s="204"/>
      <c r="J6" s="202" t="s">
        <v>1040</v>
      </c>
      <c r="K6" s="202" t="s">
        <v>1040</v>
      </c>
      <c r="L6" s="202" t="s">
        <v>1040</v>
      </c>
      <c r="M6" s="202" t="s">
        <v>1040</v>
      </c>
      <c r="N6" s="202" t="s">
        <v>1040</v>
      </c>
      <c r="O6" s="202" t="s">
        <v>1040</v>
      </c>
      <c r="P6" s="202" t="s">
        <v>1040</v>
      </c>
      <c r="Q6" s="202" t="s">
        <v>1040</v>
      </c>
      <c r="R6" s="202" t="s">
        <v>1040</v>
      </c>
      <c r="S6" s="147" t="s">
        <v>1040</v>
      </c>
      <c r="T6" s="147" t="s">
        <v>1040</v>
      </c>
      <c r="U6" s="147" t="s">
        <v>1040</v>
      </c>
      <c r="V6" s="8"/>
      <c r="W6" s="6"/>
      <c r="X6" s="1"/>
      <c r="Y6" s="1"/>
      <c r="Z6" s="1"/>
      <c r="AA6"/>
      <c r="AB6"/>
      <c r="AC6"/>
    </row>
    <row r="8" spans="1:43" x14ac:dyDescent="0.2">
      <c r="A8" s="252" t="s">
        <v>18</v>
      </c>
      <c r="B8" s="9" t="s">
        <v>495</v>
      </c>
      <c r="C8" s="9" t="s">
        <v>495</v>
      </c>
      <c r="D8" s="9" t="s">
        <v>495</v>
      </c>
      <c r="E8" s="9"/>
      <c r="F8" s="9">
        <v>0</v>
      </c>
      <c r="G8" s="83">
        <v>25503</v>
      </c>
      <c r="H8" s="83">
        <f>SUM(J8:U8)+SUM(AA8:AC8)</f>
        <v>17500</v>
      </c>
      <c r="I8" s="133">
        <f>ROUND((H8/G8),4)</f>
        <v>0.68620000000000003</v>
      </c>
      <c r="J8" s="82">
        <v>1250</v>
      </c>
      <c r="K8" s="82">
        <v>1250</v>
      </c>
      <c r="L8" s="82">
        <v>1250</v>
      </c>
      <c r="M8" s="82">
        <v>1250</v>
      </c>
      <c r="N8" s="82">
        <v>1250</v>
      </c>
      <c r="O8" s="82">
        <v>1250</v>
      </c>
      <c r="P8" s="82">
        <v>1250</v>
      </c>
      <c r="Q8" s="82">
        <v>1250</v>
      </c>
      <c r="R8" s="82">
        <v>1250</v>
      </c>
      <c r="S8" s="23">
        <v>1250</v>
      </c>
      <c r="T8" s="23">
        <v>1250</v>
      </c>
      <c r="U8" s="23">
        <v>3750</v>
      </c>
      <c r="V8" s="7" t="s">
        <v>496</v>
      </c>
      <c r="W8" s="82">
        <f>G8-H8</f>
        <v>8003</v>
      </c>
      <c r="X8" s="4"/>
      <c r="Y8" s="4"/>
      <c r="Z8" s="4"/>
      <c r="AA8" s="82"/>
      <c r="AB8" s="82"/>
      <c r="AC8" s="82"/>
      <c r="AD8" s="82"/>
      <c r="AE8" s="7" t="s">
        <v>379</v>
      </c>
      <c r="AH8" s="23">
        <f>SUM('2021 Detail'!J8:U8)+SUM('2021 Detail'!AA8:AC8)</f>
        <v>15000</v>
      </c>
      <c r="AJ8" s="23">
        <f>H8-AH8</f>
        <v>2500</v>
      </c>
      <c r="AL8" t="str">
        <f>IF(AJ8&lt;0,"Down",IF(AJ8&gt;0,"Up","Same"))</f>
        <v>Up</v>
      </c>
      <c r="AQ8" s="23">
        <v>1250</v>
      </c>
    </row>
    <row r="9" spans="1:43" x14ac:dyDescent="0.2">
      <c r="A9" s="252" t="s">
        <v>19</v>
      </c>
      <c r="B9" s="9" t="s">
        <v>495</v>
      </c>
      <c r="C9" s="9" t="s">
        <v>495</v>
      </c>
      <c r="D9" s="9" t="s">
        <v>495</v>
      </c>
      <c r="E9" s="9"/>
      <c r="F9" s="9" t="s">
        <v>495</v>
      </c>
      <c r="G9" s="83">
        <v>14573</v>
      </c>
      <c r="H9" s="83">
        <f t="shared" ref="H9:H37" si="0">SUM(J9:U9)+SUM(AA9:AC9)</f>
        <v>1200</v>
      </c>
      <c r="I9" s="133">
        <f t="shared" ref="I9:I41" si="1">ROUND((H9/G9),4)</f>
        <v>8.2299999999999998E-2</v>
      </c>
      <c r="J9" s="82">
        <v>100</v>
      </c>
      <c r="K9" s="82">
        <v>100</v>
      </c>
      <c r="L9" s="82">
        <v>100</v>
      </c>
      <c r="M9" s="82">
        <v>100</v>
      </c>
      <c r="N9" s="82">
        <v>100</v>
      </c>
      <c r="O9" s="82">
        <v>100</v>
      </c>
      <c r="P9" s="82">
        <v>100</v>
      </c>
      <c r="Q9" s="82">
        <v>100</v>
      </c>
      <c r="R9" s="82">
        <v>100</v>
      </c>
      <c r="S9" s="23">
        <v>100</v>
      </c>
      <c r="T9" s="23">
        <v>100</v>
      </c>
      <c r="U9" s="23">
        <v>100</v>
      </c>
      <c r="V9" s="7" t="s">
        <v>497</v>
      </c>
      <c r="W9" s="82">
        <f t="shared" ref="W9:W38" si="2">G9-H9</f>
        <v>13373</v>
      </c>
      <c r="X9" s="4"/>
      <c r="Y9" s="4"/>
      <c r="Z9" s="4"/>
      <c r="AA9" s="82"/>
      <c r="AB9" s="82"/>
      <c r="AC9" s="82"/>
      <c r="AD9" s="82"/>
      <c r="AE9" s="7" t="s">
        <v>379</v>
      </c>
      <c r="AH9" s="23">
        <f>SUM('2021 Detail'!J9:U9)+SUM('2021 Detail'!AA9:AC9)</f>
        <v>1200</v>
      </c>
      <c r="AJ9" s="23">
        <f t="shared" ref="AJ9:AJ40" si="3">H9-AH9</f>
        <v>0</v>
      </c>
      <c r="AL9" t="str">
        <f t="shared" ref="AL9:AL38" si="4">IF(AJ9&lt;0,"Down",IF(AJ9&gt;0,"Up","Same"))</f>
        <v>Same</v>
      </c>
      <c r="AQ9" s="23">
        <v>100</v>
      </c>
    </row>
    <row r="10" spans="1:43" x14ac:dyDescent="0.2">
      <c r="A10" s="252" t="s">
        <v>20</v>
      </c>
      <c r="B10" s="9" t="s">
        <v>495</v>
      </c>
      <c r="C10" s="9" t="s">
        <v>495</v>
      </c>
      <c r="D10" s="9" t="s">
        <v>495</v>
      </c>
      <c r="E10" s="9"/>
      <c r="F10" s="9">
        <v>0</v>
      </c>
      <c r="G10" s="83">
        <v>18217</v>
      </c>
      <c r="H10" s="83">
        <f t="shared" si="0"/>
        <v>15000</v>
      </c>
      <c r="I10" s="133">
        <f t="shared" si="1"/>
        <v>0.82340000000000002</v>
      </c>
      <c r="J10" s="82">
        <v>0</v>
      </c>
      <c r="K10" s="82"/>
      <c r="L10" s="82"/>
      <c r="M10" s="82"/>
      <c r="N10" s="82"/>
      <c r="O10" s="82"/>
      <c r="P10" s="82"/>
      <c r="Q10" s="82"/>
      <c r="R10" s="82"/>
      <c r="S10" s="23"/>
      <c r="T10" s="23"/>
      <c r="U10" s="23">
        <v>15000</v>
      </c>
      <c r="V10" s="7" t="s">
        <v>498</v>
      </c>
      <c r="W10" s="82">
        <f t="shared" si="2"/>
        <v>3217</v>
      </c>
      <c r="X10" s="4"/>
      <c r="Y10" s="4"/>
      <c r="Z10" s="4"/>
      <c r="AA10" s="82"/>
      <c r="AB10" s="82"/>
      <c r="AC10" s="82"/>
      <c r="AD10" s="82"/>
      <c r="AE10" s="7" t="s">
        <v>379</v>
      </c>
      <c r="AH10" s="23">
        <f>SUM('2021 Detail'!J10:U10)+SUM('2021 Detail'!AA10:AC10)</f>
        <v>12000</v>
      </c>
      <c r="AJ10" s="23">
        <f t="shared" si="3"/>
        <v>3000</v>
      </c>
      <c r="AL10" t="str">
        <f t="shared" si="4"/>
        <v>Up</v>
      </c>
      <c r="AQ10" s="23">
        <v>12000</v>
      </c>
    </row>
    <row r="11" spans="1:43" x14ac:dyDescent="0.2">
      <c r="A11" s="252" t="s">
        <v>21</v>
      </c>
      <c r="B11" s="9" t="s">
        <v>495</v>
      </c>
      <c r="C11" s="9" t="s">
        <v>495</v>
      </c>
      <c r="D11" s="9">
        <v>0</v>
      </c>
      <c r="E11" s="9"/>
      <c r="F11" s="9">
        <v>0</v>
      </c>
      <c r="G11" s="83">
        <v>75291</v>
      </c>
      <c r="H11" s="83">
        <f t="shared" si="0"/>
        <v>75291</v>
      </c>
      <c r="I11" s="133">
        <f t="shared" si="1"/>
        <v>1</v>
      </c>
      <c r="J11" s="82">
        <v>0</v>
      </c>
      <c r="K11" s="82">
        <v>7791</v>
      </c>
      <c r="L11" s="82">
        <v>7500</v>
      </c>
      <c r="M11" s="82"/>
      <c r="N11" s="82"/>
      <c r="O11" s="82">
        <v>22500</v>
      </c>
      <c r="P11" s="82"/>
      <c r="Q11" s="82">
        <v>7500</v>
      </c>
      <c r="R11" s="82">
        <v>7500</v>
      </c>
      <c r="S11" s="23">
        <v>7500</v>
      </c>
      <c r="T11" s="23">
        <v>7500</v>
      </c>
      <c r="U11" s="23">
        <v>7500</v>
      </c>
      <c r="V11" s="7" t="s">
        <v>499</v>
      </c>
      <c r="W11" s="82">
        <f t="shared" si="2"/>
        <v>0</v>
      </c>
      <c r="X11" s="4"/>
      <c r="Y11" s="4"/>
      <c r="Z11" s="4"/>
      <c r="AA11" s="82"/>
      <c r="AB11" s="82"/>
      <c r="AC11" s="82"/>
      <c r="AD11" s="82"/>
      <c r="AE11" s="7" t="s">
        <v>380</v>
      </c>
      <c r="AH11" s="23">
        <f>SUM('2021 Detail'!J11:U11)+SUM('2021 Detail'!AA11:AC11)</f>
        <v>75291</v>
      </c>
      <c r="AJ11" s="23">
        <f t="shared" si="3"/>
        <v>0</v>
      </c>
      <c r="AL11" t="str">
        <f t="shared" si="4"/>
        <v>Same</v>
      </c>
      <c r="AQ11" s="23">
        <v>7500</v>
      </c>
    </row>
    <row r="12" spans="1:43" x14ac:dyDescent="0.2">
      <c r="A12" s="252" t="s">
        <v>22</v>
      </c>
      <c r="B12" s="9" t="s">
        <v>495</v>
      </c>
      <c r="C12" s="9" t="s">
        <v>495</v>
      </c>
      <c r="D12" s="9" t="s">
        <v>495</v>
      </c>
      <c r="E12" s="9"/>
      <c r="F12" s="9">
        <v>0</v>
      </c>
      <c r="G12" s="83">
        <v>17737</v>
      </c>
      <c r="H12" s="83">
        <f t="shared" si="0"/>
        <v>17736.96</v>
      </c>
      <c r="I12" s="133">
        <f t="shared" si="1"/>
        <v>1</v>
      </c>
      <c r="J12" s="82">
        <v>1478.08</v>
      </c>
      <c r="K12" s="82">
        <v>1478.08</v>
      </c>
      <c r="L12" s="82">
        <v>1478.08</v>
      </c>
      <c r="M12" s="82">
        <v>1478.08</v>
      </c>
      <c r="N12" s="82">
        <v>1478.08</v>
      </c>
      <c r="O12" s="82">
        <v>1478.08</v>
      </c>
      <c r="P12" s="82">
        <v>1478.08</v>
      </c>
      <c r="Q12" s="82">
        <v>1478.08</v>
      </c>
      <c r="R12" s="82">
        <v>1478.08</v>
      </c>
      <c r="S12" s="23">
        <v>1478.08</v>
      </c>
      <c r="T12" s="23">
        <v>1478.08</v>
      </c>
      <c r="U12" s="23">
        <v>1478.08</v>
      </c>
      <c r="V12" s="7" t="s">
        <v>500</v>
      </c>
      <c r="W12" s="82">
        <f t="shared" si="2"/>
        <v>4.0000000000873115E-2</v>
      </c>
      <c r="X12" s="4"/>
      <c r="Y12" s="4"/>
      <c r="Z12" s="4"/>
      <c r="AA12" s="82"/>
      <c r="AB12" s="82"/>
      <c r="AC12" s="82"/>
      <c r="AD12" s="82"/>
      <c r="AE12" s="7" t="s">
        <v>381</v>
      </c>
      <c r="AH12" s="23">
        <f>SUM('2021 Detail'!J12:U12)+SUM('2021 Detail'!AA12:AC12)</f>
        <v>17736.96</v>
      </c>
      <c r="AJ12" s="23">
        <f t="shared" si="3"/>
        <v>0</v>
      </c>
      <c r="AL12" t="str">
        <f t="shared" si="4"/>
        <v>Same</v>
      </c>
      <c r="AQ12" s="23">
        <v>1478.08</v>
      </c>
    </row>
    <row r="13" spans="1:43" x14ac:dyDescent="0.2">
      <c r="A13" s="252" t="s">
        <v>23</v>
      </c>
      <c r="B13" s="9" t="s">
        <v>495</v>
      </c>
      <c r="C13" s="9" t="s">
        <v>495</v>
      </c>
      <c r="D13" s="9">
        <v>0</v>
      </c>
      <c r="E13" s="9"/>
      <c r="F13" s="9" t="s">
        <v>495</v>
      </c>
      <c r="G13" s="83">
        <v>13008</v>
      </c>
      <c r="H13" s="83">
        <f t="shared" si="0"/>
        <v>10300</v>
      </c>
      <c r="I13" s="133">
        <f t="shared" si="1"/>
        <v>0.79179999999999995</v>
      </c>
      <c r="J13" s="82">
        <v>600</v>
      </c>
      <c r="K13" s="82">
        <v>600</v>
      </c>
      <c r="L13" s="82">
        <v>600</v>
      </c>
      <c r="M13" s="82">
        <v>600</v>
      </c>
      <c r="N13" s="82">
        <v>600</v>
      </c>
      <c r="O13" s="82">
        <v>600</v>
      </c>
      <c r="P13" s="82">
        <v>600</v>
      </c>
      <c r="Q13" s="82">
        <v>600</v>
      </c>
      <c r="R13" s="82">
        <v>600</v>
      </c>
      <c r="S13" s="23">
        <v>600</v>
      </c>
      <c r="T13" s="23">
        <v>600</v>
      </c>
      <c r="U13" s="23">
        <v>600</v>
      </c>
      <c r="V13" s="7" t="s">
        <v>501</v>
      </c>
      <c r="W13" s="82">
        <f t="shared" si="2"/>
        <v>2708</v>
      </c>
      <c r="X13" s="4"/>
      <c r="Y13" s="4"/>
      <c r="Z13" s="4"/>
      <c r="AA13" s="82">
        <v>3100</v>
      </c>
      <c r="AB13" s="82"/>
      <c r="AC13" s="82"/>
      <c r="AD13" s="82"/>
      <c r="AE13" s="7" t="s">
        <v>381</v>
      </c>
      <c r="AH13" s="23">
        <f>SUM('2021 Detail'!J13:U13)+SUM('2021 Detail'!AA13:AC13)</f>
        <v>10200</v>
      </c>
      <c r="AJ13" s="23">
        <f t="shared" si="3"/>
        <v>100</v>
      </c>
      <c r="AL13" t="str">
        <f t="shared" si="4"/>
        <v>Up</v>
      </c>
      <c r="AQ13" s="23">
        <v>3600</v>
      </c>
    </row>
    <row r="14" spans="1:43" x14ac:dyDescent="0.2">
      <c r="A14" s="252" t="s">
        <v>24</v>
      </c>
      <c r="B14" s="9" t="s">
        <v>495</v>
      </c>
      <c r="C14" s="9" t="s">
        <v>495</v>
      </c>
      <c r="D14" s="9" t="s">
        <v>495</v>
      </c>
      <c r="E14" s="9"/>
      <c r="F14" s="9">
        <v>0</v>
      </c>
      <c r="G14" s="83">
        <v>8747</v>
      </c>
      <c r="H14" s="83">
        <f t="shared" si="0"/>
        <v>4000</v>
      </c>
      <c r="I14" s="133">
        <f t="shared" si="1"/>
        <v>0.45729999999999998</v>
      </c>
      <c r="J14" s="82">
        <v>0</v>
      </c>
      <c r="K14" s="82"/>
      <c r="L14" s="82"/>
      <c r="M14" s="82">
        <v>300</v>
      </c>
      <c r="N14" s="82"/>
      <c r="O14" s="82">
        <v>300</v>
      </c>
      <c r="P14" s="82">
        <v>100</v>
      </c>
      <c r="Q14" s="82">
        <v>100</v>
      </c>
      <c r="R14" s="82">
        <v>100</v>
      </c>
      <c r="S14" s="23"/>
      <c r="T14" s="23">
        <v>3100</v>
      </c>
      <c r="U14" s="23"/>
      <c r="V14" s="7" t="s">
        <v>502</v>
      </c>
      <c r="W14" s="82">
        <f t="shared" si="2"/>
        <v>4747</v>
      </c>
      <c r="X14" s="4"/>
      <c r="Y14" s="4"/>
      <c r="Z14" s="4"/>
      <c r="AA14" s="82"/>
      <c r="AB14" s="82"/>
      <c r="AC14" s="82"/>
      <c r="AD14" s="82"/>
      <c r="AE14" s="7" t="s">
        <v>382</v>
      </c>
      <c r="AH14" s="23">
        <f>SUM('2021 Detail'!J14:U14)+SUM('2021 Detail'!AA14:AC14)</f>
        <v>4400</v>
      </c>
      <c r="AJ14" s="23">
        <f t="shared" si="3"/>
        <v>-400</v>
      </c>
      <c r="AL14" t="str">
        <f t="shared" si="4"/>
        <v>Down</v>
      </c>
      <c r="AQ14" s="23">
        <v>3100</v>
      </c>
    </row>
    <row r="15" spans="1:43" x14ac:dyDescent="0.2">
      <c r="A15" s="252" t="s">
        <v>25</v>
      </c>
      <c r="B15" s="9" t="s">
        <v>495</v>
      </c>
      <c r="C15" s="9" t="s">
        <v>495</v>
      </c>
      <c r="D15" s="9" t="s">
        <v>495</v>
      </c>
      <c r="E15" s="9"/>
      <c r="F15" s="9">
        <v>0</v>
      </c>
      <c r="G15" s="83">
        <v>2850</v>
      </c>
      <c r="H15" s="83">
        <f t="shared" si="0"/>
        <v>2850</v>
      </c>
      <c r="I15" s="133">
        <f t="shared" si="1"/>
        <v>1</v>
      </c>
      <c r="J15" s="82">
        <v>0</v>
      </c>
      <c r="K15" s="82"/>
      <c r="L15" s="82"/>
      <c r="M15" s="82"/>
      <c r="N15" s="82"/>
      <c r="O15" s="82">
        <v>1000</v>
      </c>
      <c r="P15" s="82"/>
      <c r="Q15" s="82"/>
      <c r="R15" s="82"/>
      <c r="S15" s="23"/>
      <c r="T15" s="23">
        <v>1850</v>
      </c>
      <c r="U15" s="23"/>
      <c r="V15" s="7" t="s">
        <v>503</v>
      </c>
      <c r="W15" s="82">
        <f t="shared" si="2"/>
        <v>0</v>
      </c>
      <c r="X15" s="4"/>
      <c r="Y15" s="4"/>
      <c r="Z15" s="4"/>
      <c r="AA15" s="82"/>
      <c r="AB15" s="82"/>
      <c r="AC15" s="82"/>
      <c r="AD15" s="82"/>
      <c r="AE15" s="7" t="s">
        <v>382</v>
      </c>
      <c r="AH15" s="23">
        <f>SUM('2021 Detail'!J15:U15)+SUM('2021 Detail'!AA15:AC15)</f>
        <v>2850</v>
      </c>
      <c r="AJ15" s="23">
        <f t="shared" si="3"/>
        <v>0</v>
      </c>
      <c r="AL15" t="str">
        <f t="shared" si="4"/>
        <v>Same</v>
      </c>
      <c r="AQ15" s="23">
        <v>2350</v>
      </c>
    </row>
    <row r="16" spans="1:43" x14ac:dyDescent="0.2">
      <c r="A16" s="252" t="s">
        <v>26</v>
      </c>
      <c r="B16" s="9" t="s">
        <v>495</v>
      </c>
      <c r="C16" s="9" t="s">
        <v>495</v>
      </c>
      <c r="D16" s="9" t="s">
        <v>495</v>
      </c>
      <c r="E16" s="9"/>
      <c r="F16" s="9">
        <v>0</v>
      </c>
      <c r="G16" s="83">
        <v>8672</v>
      </c>
      <c r="H16" s="83">
        <f t="shared" si="0"/>
        <v>8672</v>
      </c>
      <c r="I16" s="133">
        <f t="shared" si="1"/>
        <v>1</v>
      </c>
      <c r="J16" s="82">
        <v>528</v>
      </c>
      <c r="K16" s="82">
        <v>400</v>
      </c>
      <c r="L16" s="82">
        <v>400</v>
      </c>
      <c r="M16" s="82">
        <v>400</v>
      </c>
      <c r="N16" s="82">
        <v>400</v>
      </c>
      <c r="O16" s="82">
        <v>400</v>
      </c>
      <c r="P16" s="82">
        <v>400</v>
      </c>
      <c r="Q16" s="82">
        <v>400</v>
      </c>
      <c r="R16" s="82">
        <v>400</v>
      </c>
      <c r="S16" s="23">
        <v>4144</v>
      </c>
      <c r="T16" s="23">
        <v>400</v>
      </c>
      <c r="U16" s="82">
        <v>400</v>
      </c>
      <c r="V16" s="7" t="s">
        <v>504</v>
      </c>
      <c r="W16" s="82">
        <f t="shared" si="2"/>
        <v>0</v>
      </c>
      <c r="X16" s="4"/>
      <c r="Y16" s="4"/>
      <c r="Z16" s="4"/>
      <c r="AA16" s="82"/>
      <c r="AB16" s="82"/>
      <c r="AC16" s="82"/>
      <c r="AD16" s="82"/>
      <c r="AE16" s="7" t="s">
        <v>381</v>
      </c>
      <c r="AH16" s="23">
        <f>SUM('2021 Detail'!J16:U16)+SUM('2021 Detail'!AA16:AC16)</f>
        <v>8672</v>
      </c>
      <c r="AJ16" s="23">
        <f t="shared" si="3"/>
        <v>0</v>
      </c>
      <c r="AL16" t="str">
        <f t="shared" si="4"/>
        <v>Same</v>
      </c>
      <c r="AQ16" s="23">
        <v>272</v>
      </c>
    </row>
    <row r="17" spans="1:43" x14ac:dyDescent="0.2">
      <c r="A17" s="252" t="s">
        <v>27</v>
      </c>
      <c r="B17" s="9" t="s">
        <v>495</v>
      </c>
      <c r="C17" s="9" t="s">
        <v>495</v>
      </c>
      <c r="D17" s="9">
        <v>0</v>
      </c>
      <c r="E17" s="9"/>
      <c r="F17" s="9">
        <v>0</v>
      </c>
      <c r="G17" s="83">
        <v>8512</v>
      </c>
      <c r="H17" s="83">
        <f t="shared" si="0"/>
        <v>8512</v>
      </c>
      <c r="I17" s="133">
        <f t="shared" si="1"/>
        <v>1</v>
      </c>
      <c r="J17" s="82">
        <v>0</v>
      </c>
      <c r="K17" s="82"/>
      <c r="L17" s="82">
        <v>3000</v>
      </c>
      <c r="M17" s="82"/>
      <c r="N17" s="82"/>
      <c r="O17" s="82">
        <v>3000</v>
      </c>
      <c r="P17" s="82"/>
      <c r="Q17" s="82"/>
      <c r="R17" s="82">
        <v>2512</v>
      </c>
      <c r="S17" s="23"/>
      <c r="T17" s="23"/>
      <c r="U17" s="82"/>
      <c r="V17" s="7" t="s">
        <v>505</v>
      </c>
      <c r="W17" s="82">
        <f t="shared" si="2"/>
        <v>0</v>
      </c>
      <c r="X17" s="4"/>
      <c r="Y17" s="4"/>
      <c r="Z17" s="4"/>
      <c r="AA17" s="82"/>
      <c r="AB17" s="82"/>
      <c r="AC17" s="82"/>
      <c r="AD17" s="82"/>
      <c r="AE17" s="7" t="s">
        <v>382</v>
      </c>
      <c r="AH17" s="23">
        <f>SUM('2021 Detail'!J17:U17)+SUM('2021 Detail'!AA17:AC17)</f>
        <v>8512</v>
      </c>
      <c r="AJ17" s="23">
        <f t="shared" si="3"/>
        <v>0</v>
      </c>
      <c r="AL17" t="str">
        <f t="shared" si="4"/>
        <v>Same</v>
      </c>
    </row>
    <row r="18" spans="1:43" x14ac:dyDescent="0.2">
      <c r="A18" s="252" t="s">
        <v>28</v>
      </c>
      <c r="B18" s="9" t="s">
        <v>495</v>
      </c>
      <c r="C18" s="9" t="s">
        <v>495</v>
      </c>
      <c r="D18" s="9" t="s">
        <v>495</v>
      </c>
      <c r="E18" s="9"/>
      <c r="F18" s="9">
        <v>0</v>
      </c>
      <c r="G18" s="83">
        <v>10083</v>
      </c>
      <c r="H18" s="83">
        <f t="shared" si="0"/>
        <v>10000</v>
      </c>
      <c r="I18" s="133">
        <f t="shared" si="1"/>
        <v>0.99180000000000001</v>
      </c>
      <c r="J18" s="82">
        <v>0</v>
      </c>
      <c r="K18" s="82"/>
      <c r="L18" s="82">
        <v>2000</v>
      </c>
      <c r="M18" s="82"/>
      <c r="N18" s="82">
        <v>1000</v>
      </c>
      <c r="O18" s="82">
        <v>2000</v>
      </c>
      <c r="P18" s="82"/>
      <c r="Q18" s="82"/>
      <c r="R18" s="82">
        <v>2000</v>
      </c>
      <c r="S18" s="23"/>
      <c r="T18" s="23"/>
      <c r="U18" s="82">
        <v>3000</v>
      </c>
      <c r="V18" s="7" t="s">
        <v>506</v>
      </c>
      <c r="W18" s="82">
        <f t="shared" si="2"/>
        <v>83</v>
      </c>
      <c r="X18" s="4"/>
      <c r="Y18" s="4"/>
      <c r="Z18" s="4"/>
      <c r="AA18" s="82"/>
      <c r="AB18" s="82"/>
      <c r="AC18" s="82"/>
      <c r="AD18" s="82"/>
      <c r="AE18" s="7" t="s">
        <v>383</v>
      </c>
      <c r="AH18" s="23">
        <f>SUM('2021 Detail'!J18:U18)+SUM('2021 Detail'!AA18:AC18)</f>
        <v>9000</v>
      </c>
      <c r="AJ18" s="23">
        <f t="shared" si="3"/>
        <v>1000</v>
      </c>
      <c r="AL18" t="str">
        <f t="shared" si="4"/>
        <v>Up</v>
      </c>
      <c r="AQ18" s="23">
        <v>1000</v>
      </c>
    </row>
    <row r="19" spans="1:43" x14ac:dyDescent="0.2">
      <c r="A19" s="252" t="s">
        <v>29</v>
      </c>
      <c r="B19" s="9" t="s">
        <v>495</v>
      </c>
      <c r="C19" s="9" t="s">
        <v>495</v>
      </c>
      <c r="D19" s="9" t="s">
        <v>495</v>
      </c>
      <c r="E19" s="9"/>
      <c r="F19" s="9">
        <v>0</v>
      </c>
      <c r="G19" s="83">
        <v>5788</v>
      </c>
      <c r="H19" s="83">
        <f t="shared" si="0"/>
        <v>3520</v>
      </c>
      <c r="I19" s="133">
        <f t="shared" si="1"/>
        <v>0.60819999999999996</v>
      </c>
      <c r="J19" s="82">
        <v>0</v>
      </c>
      <c r="K19" s="82"/>
      <c r="L19" s="82"/>
      <c r="M19" s="82">
        <v>750</v>
      </c>
      <c r="N19" s="82">
        <v>10</v>
      </c>
      <c r="O19" s="82"/>
      <c r="P19" s="82"/>
      <c r="Q19" s="82"/>
      <c r="R19" s="82"/>
      <c r="S19" s="23"/>
      <c r="T19" s="23"/>
      <c r="U19" s="82">
        <v>2760</v>
      </c>
      <c r="V19" s="7" t="s">
        <v>507</v>
      </c>
      <c r="W19" s="82">
        <f t="shared" si="2"/>
        <v>2268</v>
      </c>
      <c r="X19" s="4"/>
      <c r="Y19" s="4"/>
      <c r="Z19" s="4"/>
      <c r="AA19" s="82"/>
      <c r="AB19" s="82"/>
      <c r="AC19" s="82"/>
      <c r="AD19" s="82"/>
      <c r="AE19" s="7" t="s">
        <v>383</v>
      </c>
      <c r="AH19" s="23">
        <f>SUM('2021 Detail'!J19:U19)+SUM('2021 Detail'!AA19:AC19)</f>
        <v>1710</v>
      </c>
      <c r="AJ19" s="23">
        <f t="shared" si="3"/>
        <v>1810</v>
      </c>
      <c r="AL19" t="str">
        <f t="shared" si="4"/>
        <v>Up</v>
      </c>
      <c r="AQ19" s="23">
        <v>700</v>
      </c>
    </row>
    <row r="20" spans="1:43" x14ac:dyDescent="0.2">
      <c r="A20" s="252" t="s">
        <v>30</v>
      </c>
      <c r="B20" s="9" t="s">
        <v>495</v>
      </c>
      <c r="C20" s="9" t="s">
        <v>495</v>
      </c>
      <c r="D20" s="9" t="s">
        <v>495</v>
      </c>
      <c r="E20" s="9"/>
      <c r="F20" s="9">
        <v>0</v>
      </c>
      <c r="G20" s="83">
        <v>7287</v>
      </c>
      <c r="H20" s="83">
        <f t="shared" si="0"/>
        <v>7000</v>
      </c>
      <c r="I20" s="133">
        <f t="shared" si="1"/>
        <v>0.96060000000000001</v>
      </c>
      <c r="J20" s="82">
        <v>0</v>
      </c>
      <c r="K20" s="82"/>
      <c r="L20" s="82"/>
      <c r="M20" s="82"/>
      <c r="N20" s="82">
        <v>2000</v>
      </c>
      <c r="O20" s="82"/>
      <c r="P20" s="82"/>
      <c r="Q20" s="82">
        <v>3000</v>
      </c>
      <c r="R20" s="82"/>
      <c r="S20" s="23">
        <v>2000</v>
      </c>
      <c r="T20" s="23"/>
      <c r="U20" s="23"/>
      <c r="V20" s="7" t="s">
        <v>508</v>
      </c>
      <c r="W20" s="82">
        <f t="shared" si="2"/>
        <v>287</v>
      </c>
      <c r="X20" s="4"/>
      <c r="Y20" s="4"/>
      <c r="Z20" s="4"/>
      <c r="AA20" s="82"/>
      <c r="AB20" s="82"/>
      <c r="AC20" s="82"/>
      <c r="AD20" s="82"/>
      <c r="AE20" s="7" t="s">
        <v>379</v>
      </c>
      <c r="AH20" s="23">
        <f>SUM('2021 Detail'!J20:U20)+SUM('2021 Detail'!AA20:AC20)</f>
        <v>2000</v>
      </c>
      <c r="AJ20" s="23">
        <f t="shared" si="3"/>
        <v>5000</v>
      </c>
      <c r="AL20" t="str">
        <f t="shared" si="4"/>
        <v>Up</v>
      </c>
    </row>
    <row r="21" spans="1:43" x14ac:dyDescent="0.2">
      <c r="A21" s="252" t="s">
        <v>31</v>
      </c>
      <c r="B21" s="9" t="s">
        <v>495</v>
      </c>
      <c r="C21" s="9">
        <v>0</v>
      </c>
      <c r="D21" s="9">
        <v>0</v>
      </c>
      <c r="E21" s="9"/>
      <c r="F21" s="9" t="s">
        <v>495</v>
      </c>
      <c r="G21" s="83">
        <v>7287</v>
      </c>
      <c r="H21" s="83">
        <f t="shared" si="0"/>
        <v>4044</v>
      </c>
      <c r="I21" s="133">
        <f t="shared" si="1"/>
        <v>0.55500000000000005</v>
      </c>
      <c r="J21" s="82">
        <v>337</v>
      </c>
      <c r="K21" s="82">
        <v>337</v>
      </c>
      <c r="L21" s="82">
        <v>337</v>
      </c>
      <c r="M21" s="82">
        <v>337</v>
      </c>
      <c r="N21" s="82">
        <v>337</v>
      </c>
      <c r="O21" s="82">
        <v>337</v>
      </c>
      <c r="P21" s="82">
        <v>337</v>
      </c>
      <c r="Q21" s="82">
        <v>337</v>
      </c>
      <c r="R21" s="82">
        <v>337</v>
      </c>
      <c r="S21" s="23">
        <v>337</v>
      </c>
      <c r="T21" s="23">
        <v>337</v>
      </c>
      <c r="U21" s="23">
        <v>337</v>
      </c>
      <c r="V21" s="7" t="s">
        <v>509</v>
      </c>
      <c r="W21" s="82">
        <f t="shared" si="2"/>
        <v>3243</v>
      </c>
      <c r="X21" s="4"/>
      <c r="Y21" s="4"/>
      <c r="Z21" s="4"/>
      <c r="AA21" s="82"/>
      <c r="AB21" s="82"/>
      <c r="AC21" s="82"/>
      <c r="AD21" s="82"/>
      <c r="AE21" s="7" t="s">
        <v>379</v>
      </c>
      <c r="AH21" s="23">
        <f>SUM('2021 Detail'!J21:U21)+SUM('2021 Detail'!AA21:AC21)</f>
        <v>4381.09</v>
      </c>
      <c r="AJ21" s="23">
        <f t="shared" si="3"/>
        <v>-337.09000000000015</v>
      </c>
      <c r="AL21" t="str">
        <f t="shared" si="4"/>
        <v>Down</v>
      </c>
      <c r="AQ21" s="23">
        <v>337</v>
      </c>
    </row>
    <row r="22" spans="1:43" x14ac:dyDescent="0.2">
      <c r="A22" s="252" t="s">
        <v>32</v>
      </c>
      <c r="B22" s="9">
        <v>0</v>
      </c>
      <c r="C22" s="9" t="s">
        <v>495</v>
      </c>
      <c r="D22" s="9" t="s">
        <v>495</v>
      </c>
      <c r="E22" s="9"/>
      <c r="F22" s="9">
        <v>0</v>
      </c>
      <c r="G22" s="83">
        <v>9804</v>
      </c>
      <c r="H22" s="83">
        <f t="shared" si="0"/>
        <v>9804</v>
      </c>
      <c r="I22" s="133">
        <f t="shared" si="1"/>
        <v>1</v>
      </c>
      <c r="J22" s="82">
        <v>0</v>
      </c>
      <c r="K22" s="82"/>
      <c r="L22" s="82"/>
      <c r="M22" s="82"/>
      <c r="N22" s="82"/>
      <c r="O22" s="82"/>
      <c r="P22" s="82"/>
      <c r="Q22" s="82"/>
      <c r="R22" s="82">
        <v>9804</v>
      </c>
      <c r="S22" s="23"/>
      <c r="T22" s="23"/>
      <c r="U22" s="23"/>
      <c r="V22" s="7" t="s">
        <v>510</v>
      </c>
      <c r="W22" s="82">
        <f t="shared" si="2"/>
        <v>0</v>
      </c>
      <c r="X22" s="4"/>
      <c r="Y22" s="4"/>
      <c r="Z22" s="4"/>
      <c r="AA22" s="82"/>
      <c r="AB22" s="82"/>
      <c r="AC22" s="82"/>
      <c r="AD22" s="82"/>
      <c r="AE22" s="7" t="s">
        <v>383</v>
      </c>
      <c r="AH22" s="23">
        <f>SUM('2021 Detail'!J22:U22)+SUM('2021 Detail'!AA22:AC22)</f>
        <v>7125</v>
      </c>
      <c r="AJ22" s="23">
        <f t="shared" si="3"/>
        <v>2679</v>
      </c>
      <c r="AL22" t="str">
        <f t="shared" si="4"/>
        <v>Up</v>
      </c>
    </row>
    <row r="23" spans="1:43" x14ac:dyDescent="0.2">
      <c r="A23" s="252" t="s">
        <v>1147</v>
      </c>
      <c r="B23" s="9" t="s">
        <v>495</v>
      </c>
      <c r="C23" s="9" t="s">
        <v>495</v>
      </c>
      <c r="D23" s="9" t="s">
        <v>495</v>
      </c>
      <c r="E23" s="9"/>
      <c r="F23" s="9">
        <v>0</v>
      </c>
      <c r="G23" s="83">
        <v>23628</v>
      </c>
      <c r="H23" s="83">
        <f t="shared" si="0"/>
        <v>22150</v>
      </c>
      <c r="I23" s="133">
        <f t="shared" si="1"/>
        <v>0.93740000000000001</v>
      </c>
      <c r="J23" s="82">
        <v>0</v>
      </c>
      <c r="K23" s="82"/>
      <c r="L23" s="82"/>
      <c r="M23" s="82">
        <v>4075</v>
      </c>
      <c r="N23" s="82"/>
      <c r="O23" s="82"/>
      <c r="P23" s="82">
        <v>7000</v>
      </c>
      <c r="Q23" s="82"/>
      <c r="R23" s="82"/>
      <c r="S23" s="23">
        <v>4075</v>
      </c>
      <c r="T23" s="23"/>
      <c r="U23" s="23">
        <v>7000</v>
      </c>
      <c r="V23" s="7" t="s">
        <v>511</v>
      </c>
      <c r="W23" s="82">
        <f t="shared" si="2"/>
        <v>1478</v>
      </c>
      <c r="X23" s="4"/>
      <c r="Y23" s="4"/>
      <c r="Z23" s="4"/>
      <c r="AA23" s="82"/>
      <c r="AB23" s="82"/>
      <c r="AC23" s="82"/>
      <c r="AD23" s="82"/>
      <c r="AE23" s="10" t="s">
        <v>384</v>
      </c>
      <c r="AH23" s="23">
        <f>SUM('2021 Detail'!J23:U23)+SUM('2021 Detail'!AA23:AC23)</f>
        <v>18276</v>
      </c>
      <c r="AJ23" s="23">
        <f t="shared" si="3"/>
        <v>3874</v>
      </c>
      <c r="AL23" t="str">
        <f t="shared" si="4"/>
        <v>Up</v>
      </c>
      <c r="AQ23" s="23">
        <v>5655.85</v>
      </c>
    </row>
    <row r="24" spans="1:43" x14ac:dyDescent="0.2">
      <c r="A24" s="252" t="s">
        <v>374</v>
      </c>
      <c r="B24" s="9"/>
      <c r="C24" s="9"/>
      <c r="E24" s="9"/>
      <c r="F24" s="9"/>
      <c r="G24" s="83">
        <v>3475</v>
      </c>
      <c r="H24" s="83">
        <f t="shared" si="0"/>
        <v>7373.4000000000005</v>
      </c>
      <c r="I24" s="133">
        <f t="shared" si="1"/>
        <v>2.1217999999999999</v>
      </c>
      <c r="J24" s="82"/>
      <c r="K24" s="82"/>
      <c r="L24" s="82"/>
      <c r="M24" s="82">
        <v>1114</v>
      </c>
      <c r="N24" s="82"/>
      <c r="O24" s="82"/>
      <c r="P24" s="82">
        <v>5504.05</v>
      </c>
      <c r="Q24" s="82"/>
      <c r="R24" s="82"/>
      <c r="S24" s="23">
        <v>755.21</v>
      </c>
      <c r="T24" s="23"/>
      <c r="U24" s="23">
        <v>0.14000000000000001</v>
      </c>
      <c r="V24" s="7" t="s">
        <v>1149</v>
      </c>
      <c r="W24" s="82">
        <f t="shared" si="2"/>
        <v>-3898.4000000000005</v>
      </c>
      <c r="X24" s="4"/>
      <c r="Y24" s="4"/>
      <c r="Z24" s="4"/>
      <c r="AA24" s="82"/>
      <c r="AB24" s="82"/>
      <c r="AC24" s="82"/>
      <c r="AD24" s="82"/>
      <c r="AE24" s="10" t="s">
        <v>384</v>
      </c>
      <c r="AH24" s="23">
        <v>0</v>
      </c>
      <c r="AJ24" s="23">
        <f t="shared" si="3"/>
        <v>7373.4000000000005</v>
      </c>
      <c r="AL24" t="str">
        <f t="shared" si="4"/>
        <v>Up</v>
      </c>
    </row>
    <row r="25" spans="1:43" x14ac:dyDescent="0.2">
      <c r="A25" s="252" t="s">
        <v>33</v>
      </c>
      <c r="B25" s="9">
        <v>0</v>
      </c>
      <c r="C25" s="9" t="s">
        <v>495</v>
      </c>
      <c r="D25" s="9">
        <v>0</v>
      </c>
      <c r="E25" s="9"/>
      <c r="F25" s="9" t="s">
        <v>495</v>
      </c>
      <c r="G25" s="83">
        <v>50085</v>
      </c>
      <c r="H25" s="83">
        <f t="shared" si="0"/>
        <v>31000</v>
      </c>
      <c r="I25" s="133">
        <f t="shared" si="1"/>
        <v>0.61890000000000001</v>
      </c>
      <c r="J25" s="82">
        <v>0</v>
      </c>
      <c r="K25" s="82"/>
      <c r="L25" s="82"/>
      <c r="M25" s="82"/>
      <c r="N25" s="82"/>
      <c r="O25" s="82"/>
      <c r="P25" s="82"/>
      <c r="Q25" s="82"/>
      <c r="R25" s="82"/>
      <c r="S25" s="23"/>
      <c r="T25" s="23"/>
      <c r="V25" s="7" t="s">
        <v>512</v>
      </c>
      <c r="W25" s="82">
        <f t="shared" si="2"/>
        <v>19085</v>
      </c>
      <c r="X25" s="4"/>
      <c r="Y25" s="4"/>
      <c r="Z25" s="4"/>
      <c r="AA25" s="82"/>
      <c r="AB25" s="82">
        <v>31000</v>
      </c>
      <c r="AC25" s="82"/>
      <c r="AD25" s="82"/>
      <c r="AE25" s="10" t="s">
        <v>385</v>
      </c>
      <c r="AH25" s="23">
        <f>SUM('2021 Detail'!J24:U24)+SUM('2021 Detail'!AA24:AC24)</f>
        <v>20034</v>
      </c>
      <c r="AJ25" s="23">
        <f t="shared" si="3"/>
        <v>10966</v>
      </c>
      <c r="AL25" t="str">
        <f t="shared" si="4"/>
        <v>Up</v>
      </c>
      <c r="AQ25" s="23">
        <v>11686.5</v>
      </c>
    </row>
    <row r="26" spans="1:43" x14ac:dyDescent="0.2">
      <c r="A26" s="252" t="s">
        <v>34</v>
      </c>
      <c r="B26" s="9" t="s">
        <v>495</v>
      </c>
      <c r="C26" s="9">
        <v>0</v>
      </c>
      <c r="D26" s="9" t="s">
        <v>495</v>
      </c>
      <c r="E26" s="9"/>
      <c r="F26" s="9" t="s">
        <v>495</v>
      </c>
      <c r="G26" s="83">
        <v>20033</v>
      </c>
      <c r="H26" s="83">
        <f t="shared" si="0"/>
        <v>20033</v>
      </c>
      <c r="I26" s="133">
        <f t="shared" si="1"/>
        <v>1</v>
      </c>
      <c r="J26" s="82">
        <v>1669.49</v>
      </c>
      <c r="K26" s="82">
        <v>1669.41</v>
      </c>
      <c r="L26" s="82">
        <v>1669.41</v>
      </c>
      <c r="M26" s="82">
        <v>1669.41</v>
      </c>
      <c r="N26" s="82">
        <v>1669.41</v>
      </c>
      <c r="O26" s="82">
        <v>1669.41</v>
      </c>
      <c r="P26" s="82">
        <v>1669.41</v>
      </c>
      <c r="Q26" s="82">
        <v>1669.41</v>
      </c>
      <c r="R26" s="82">
        <v>1669.41</v>
      </c>
      <c r="S26" s="23">
        <v>1669.41</v>
      </c>
      <c r="T26" s="23">
        <v>1669.41</v>
      </c>
      <c r="U26" s="23">
        <v>1669.41</v>
      </c>
      <c r="V26" s="7" t="s">
        <v>513</v>
      </c>
      <c r="W26" s="82">
        <f t="shared" si="2"/>
        <v>0</v>
      </c>
      <c r="X26" s="4"/>
      <c r="Y26" s="4"/>
      <c r="Z26" s="4"/>
      <c r="AA26" s="82"/>
      <c r="AB26" s="82"/>
      <c r="AC26" s="82"/>
      <c r="AD26" s="82"/>
      <c r="AE26" s="10" t="s">
        <v>385</v>
      </c>
      <c r="AH26" s="23">
        <f>SUM('2021 Detail'!J25:U25)+SUM('2021 Detail'!AA25:AC25)</f>
        <v>20033</v>
      </c>
      <c r="AJ26" s="23">
        <f t="shared" si="3"/>
        <v>0</v>
      </c>
      <c r="AL26" t="str">
        <f t="shared" si="4"/>
        <v>Same</v>
      </c>
      <c r="AQ26" s="23">
        <v>1669.41</v>
      </c>
    </row>
    <row r="27" spans="1:43" x14ac:dyDescent="0.2">
      <c r="A27" s="252" t="s">
        <v>35</v>
      </c>
      <c r="B27" s="9">
        <v>0</v>
      </c>
      <c r="C27" s="9" t="s">
        <v>495</v>
      </c>
      <c r="D27" s="9">
        <v>0</v>
      </c>
      <c r="E27" s="9"/>
      <c r="F27" s="9" t="s">
        <v>495</v>
      </c>
      <c r="G27" s="83">
        <v>10083</v>
      </c>
      <c r="H27" s="83">
        <f t="shared" si="0"/>
        <v>6858</v>
      </c>
      <c r="I27" s="133">
        <f t="shared" si="1"/>
        <v>0.68020000000000003</v>
      </c>
      <c r="J27" s="82">
        <v>0</v>
      </c>
      <c r="K27" s="82"/>
      <c r="L27" s="82"/>
      <c r="M27" s="82"/>
      <c r="N27" s="82"/>
      <c r="O27" s="82"/>
      <c r="P27" s="82">
        <v>1000</v>
      </c>
      <c r="Q27" s="82">
        <v>1000</v>
      </c>
      <c r="R27" s="82">
        <v>1000</v>
      </c>
      <c r="S27" s="23">
        <v>1000</v>
      </c>
      <c r="T27" s="23">
        <v>1000</v>
      </c>
      <c r="U27" s="23">
        <v>1000</v>
      </c>
      <c r="V27" s="7" t="s">
        <v>514</v>
      </c>
      <c r="W27" s="82">
        <f t="shared" si="2"/>
        <v>3225</v>
      </c>
      <c r="X27" s="4"/>
      <c r="Y27" s="4"/>
      <c r="Z27" s="4"/>
      <c r="AA27" s="82">
        <v>858</v>
      </c>
      <c r="AB27" s="82"/>
      <c r="AC27" s="82"/>
      <c r="AD27" s="82"/>
      <c r="AE27" s="10" t="s">
        <v>383</v>
      </c>
      <c r="AH27" s="23">
        <f>SUM('2021 Detail'!J26:U26)+SUM('2021 Detail'!AA26:AC26)</f>
        <v>7799.9700000000012</v>
      </c>
      <c r="AJ27" s="23">
        <f t="shared" si="3"/>
        <v>-941.97000000000116</v>
      </c>
      <c r="AL27" t="str">
        <f t="shared" si="4"/>
        <v>Down</v>
      </c>
      <c r="AQ27" s="23">
        <v>0</v>
      </c>
    </row>
    <row r="28" spans="1:43" x14ac:dyDescent="0.2">
      <c r="A28" s="252" t="s">
        <v>36</v>
      </c>
      <c r="B28" s="9" t="s">
        <v>495</v>
      </c>
      <c r="C28" s="9" t="s">
        <v>495</v>
      </c>
      <c r="D28" s="9" t="s">
        <v>495</v>
      </c>
      <c r="E28" s="9"/>
      <c r="F28" s="9" t="s">
        <v>495</v>
      </c>
      <c r="G28" s="83">
        <v>6161</v>
      </c>
      <c r="H28" s="83">
        <f t="shared" si="0"/>
        <v>2167.5600000000004</v>
      </c>
      <c r="I28" s="133">
        <f t="shared" si="1"/>
        <v>0.3518</v>
      </c>
      <c r="J28" s="82">
        <v>180.63</v>
      </c>
      <c r="K28" s="82">
        <v>180.63</v>
      </c>
      <c r="L28" s="82">
        <v>180.63</v>
      </c>
      <c r="M28" s="82">
        <v>180.63</v>
      </c>
      <c r="N28" s="82">
        <v>180.63</v>
      </c>
      <c r="O28" s="82">
        <v>180.63</v>
      </c>
      <c r="P28" s="82">
        <v>180.63</v>
      </c>
      <c r="Q28" s="82">
        <v>180.63</v>
      </c>
      <c r="R28" s="82">
        <v>180.63</v>
      </c>
      <c r="S28" s="23">
        <v>180.63</v>
      </c>
      <c r="T28" s="23">
        <v>180.63</v>
      </c>
      <c r="U28" s="23">
        <v>180.63</v>
      </c>
      <c r="V28" s="7" t="s">
        <v>515</v>
      </c>
      <c r="W28" s="82">
        <f t="shared" si="2"/>
        <v>3993.4399999999996</v>
      </c>
      <c r="X28" s="4"/>
      <c r="Y28" s="4"/>
      <c r="Z28" s="4"/>
      <c r="AA28" s="82"/>
      <c r="AB28" s="82"/>
      <c r="AC28" s="82"/>
      <c r="AD28" s="82"/>
      <c r="AE28" s="10" t="s">
        <v>383</v>
      </c>
      <c r="AH28" s="23">
        <f>SUM('2021 Detail'!J27:U27)+SUM('2021 Detail'!AA27:AC27)</f>
        <v>2167.5600000000004</v>
      </c>
      <c r="AJ28" s="23">
        <f t="shared" si="3"/>
        <v>0</v>
      </c>
      <c r="AL28" t="str">
        <f t="shared" si="4"/>
        <v>Same</v>
      </c>
      <c r="AQ28" s="23">
        <v>180.63</v>
      </c>
    </row>
    <row r="29" spans="1:43" x14ac:dyDescent="0.2">
      <c r="A29" s="252" t="s">
        <v>37</v>
      </c>
      <c r="B29" s="9">
        <v>0</v>
      </c>
      <c r="C29" s="9">
        <v>0</v>
      </c>
      <c r="D29" s="9">
        <v>0</v>
      </c>
      <c r="E29" s="9"/>
      <c r="F29" s="9" t="s">
        <v>495</v>
      </c>
      <c r="G29" s="83">
        <v>6254</v>
      </c>
      <c r="H29" s="83">
        <f t="shared" si="0"/>
        <v>6253.9999999999991</v>
      </c>
      <c r="I29" s="133">
        <f t="shared" si="1"/>
        <v>1</v>
      </c>
      <c r="J29" s="82">
        <v>521.24</v>
      </c>
      <c r="K29" s="82">
        <v>521.16</v>
      </c>
      <c r="L29" s="82">
        <v>521.16</v>
      </c>
      <c r="M29" s="82">
        <v>521.16</v>
      </c>
      <c r="N29" s="82">
        <v>521.16</v>
      </c>
      <c r="O29" s="82">
        <v>521.16</v>
      </c>
      <c r="P29" s="82">
        <v>521.16</v>
      </c>
      <c r="Q29" s="82">
        <v>521.16</v>
      </c>
      <c r="R29" s="82">
        <v>521.16</v>
      </c>
      <c r="S29" s="23">
        <v>521.16</v>
      </c>
      <c r="T29" s="23">
        <v>521.16</v>
      </c>
      <c r="U29" s="23">
        <v>521.16</v>
      </c>
      <c r="V29" s="7" t="s">
        <v>516</v>
      </c>
      <c r="W29" s="82">
        <f t="shared" si="2"/>
        <v>0</v>
      </c>
      <c r="X29" s="4"/>
      <c r="Y29" s="4"/>
      <c r="Z29" s="4"/>
      <c r="AA29" s="82"/>
      <c r="AB29" s="82"/>
      <c r="AC29" s="82"/>
      <c r="AD29" s="82"/>
      <c r="AE29" s="10" t="s">
        <v>383</v>
      </c>
      <c r="AH29" s="23">
        <f>SUM('2021 Detail'!J28:U28)+SUM('2021 Detail'!AA28:AC28)</f>
        <v>6254.0000000000009</v>
      </c>
      <c r="AJ29" s="23">
        <f t="shared" si="3"/>
        <v>0</v>
      </c>
      <c r="AL29" t="str">
        <f t="shared" si="4"/>
        <v>Same</v>
      </c>
      <c r="AQ29" s="23">
        <v>517.6</v>
      </c>
    </row>
    <row r="30" spans="1:43" x14ac:dyDescent="0.2">
      <c r="A30" s="252" t="s">
        <v>38</v>
      </c>
      <c r="B30" s="9" t="s">
        <v>495</v>
      </c>
      <c r="C30" s="9">
        <v>0</v>
      </c>
      <c r="D30" s="9">
        <v>0</v>
      </c>
      <c r="E30" s="9"/>
      <c r="F30" s="9" t="s">
        <v>495</v>
      </c>
      <c r="G30" s="83">
        <v>35383</v>
      </c>
      <c r="H30" s="83">
        <f t="shared" si="0"/>
        <v>32434.420000000006</v>
      </c>
      <c r="I30" s="133">
        <f t="shared" si="1"/>
        <v>0.91669999999999996</v>
      </c>
      <c r="J30" s="82">
        <v>2948.62</v>
      </c>
      <c r="K30" s="82">
        <v>2948.58</v>
      </c>
      <c r="L30" s="82">
        <v>2948.58</v>
      </c>
      <c r="M30" s="82">
        <v>2948.58</v>
      </c>
      <c r="N30" s="82">
        <v>2948.58</v>
      </c>
      <c r="O30" s="82">
        <v>2948.58</v>
      </c>
      <c r="P30" s="82">
        <v>2948.58</v>
      </c>
      <c r="Q30" s="82">
        <v>2948.58</v>
      </c>
      <c r="R30" s="82">
        <v>2948.58</v>
      </c>
      <c r="S30" s="23">
        <v>2948.58</v>
      </c>
      <c r="T30" s="23">
        <v>2948.58</v>
      </c>
      <c r="U30" s="23"/>
      <c r="V30" s="7" t="s">
        <v>517</v>
      </c>
      <c r="W30" s="82">
        <f t="shared" si="2"/>
        <v>2948.5799999999945</v>
      </c>
      <c r="X30" s="4"/>
      <c r="Y30" s="4"/>
      <c r="Z30" s="4"/>
      <c r="AA30" s="82"/>
      <c r="AB30" s="82"/>
      <c r="AC30" s="82"/>
      <c r="AD30" s="82"/>
      <c r="AE30" s="10" t="s">
        <v>383</v>
      </c>
      <c r="AH30" s="23">
        <f>SUM('2021 Detail'!J29:U29)+SUM('2021 Detail'!AA29:AC29)</f>
        <v>29874.5</v>
      </c>
      <c r="AJ30" s="23">
        <f t="shared" si="3"/>
        <v>2559.9200000000055</v>
      </c>
      <c r="AL30" t="str">
        <f t="shared" si="4"/>
        <v>Up</v>
      </c>
      <c r="AQ30" s="23">
        <v>0</v>
      </c>
    </row>
    <row r="31" spans="1:43" x14ac:dyDescent="0.2">
      <c r="A31" s="252" t="s">
        <v>39</v>
      </c>
      <c r="B31" s="9">
        <v>0</v>
      </c>
      <c r="C31" s="9">
        <v>0</v>
      </c>
      <c r="D31" s="9">
        <v>0</v>
      </c>
      <c r="E31" s="9"/>
      <c r="F31" s="9">
        <v>0</v>
      </c>
      <c r="G31" s="83">
        <v>9804</v>
      </c>
      <c r="H31" s="83">
        <f t="shared" si="0"/>
        <v>9804</v>
      </c>
      <c r="I31" s="133">
        <f t="shared" si="1"/>
        <v>1</v>
      </c>
      <c r="J31" s="82">
        <v>0</v>
      </c>
      <c r="K31" s="82"/>
      <c r="L31" s="82"/>
      <c r="M31" s="82"/>
      <c r="N31" s="82"/>
      <c r="O31" s="82"/>
      <c r="P31" s="82"/>
      <c r="Q31" s="82"/>
      <c r="R31" s="82"/>
      <c r="S31" s="23"/>
      <c r="T31" s="23">
        <v>9804</v>
      </c>
      <c r="U31" s="23"/>
      <c r="V31" s="7" t="s">
        <v>518</v>
      </c>
      <c r="W31" s="82">
        <f t="shared" si="2"/>
        <v>0</v>
      </c>
      <c r="X31" s="4"/>
      <c r="Y31" s="4"/>
      <c r="Z31" s="4"/>
      <c r="AA31" s="82"/>
      <c r="AB31" s="82"/>
      <c r="AC31" s="82"/>
      <c r="AD31" s="82"/>
      <c r="AE31" s="10" t="s">
        <v>383</v>
      </c>
      <c r="AH31" s="23">
        <f>SUM('2021 Detail'!J30:U30)+SUM('2021 Detail'!AA30:AC30)</f>
        <v>6500</v>
      </c>
      <c r="AJ31" s="23">
        <f t="shared" si="3"/>
        <v>3304</v>
      </c>
      <c r="AL31" t="str">
        <f t="shared" si="4"/>
        <v>Up</v>
      </c>
      <c r="AQ31" s="23">
        <v>6500</v>
      </c>
    </row>
    <row r="32" spans="1:43" x14ac:dyDescent="0.2">
      <c r="A32" s="252" t="s">
        <v>40</v>
      </c>
      <c r="B32" s="9" t="s">
        <v>495</v>
      </c>
      <c r="C32" s="9" t="s">
        <v>495</v>
      </c>
      <c r="D32" s="9" t="s">
        <v>495</v>
      </c>
      <c r="E32" s="9"/>
      <c r="F32" s="9">
        <v>0</v>
      </c>
      <c r="G32" s="83">
        <v>17374</v>
      </c>
      <c r="H32" s="83">
        <f t="shared" si="0"/>
        <v>13100</v>
      </c>
      <c r="I32" s="133">
        <f t="shared" si="1"/>
        <v>0.754</v>
      </c>
      <c r="J32" s="82">
        <v>0</v>
      </c>
      <c r="K32" s="82"/>
      <c r="L32" s="82"/>
      <c r="M32" s="82">
        <v>1875</v>
      </c>
      <c r="N32" s="82"/>
      <c r="O32" s="82"/>
      <c r="P32" s="82">
        <v>2800</v>
      </c>
      <c r="Q32" s="82"/>
      <c r="R32" s="82"/>
      <c r="S32" s="23">
        <v>3975</v>
      </c>
      <c r="T32" s="23"/>
      <c r="U32" s="23">
        <v>4450</v>
      </c>
      <c r="V32" s="7" t="s">
        <v>519</v>
      </c>
      <c r="W32" s="82">
        <f t="shared" si="2"/>
        <v>4274</v>
      </c>
      <c r="X32" s="4"/>
      <c r="Y32" s="4"/>
      <c r="Z32" s="4"/>
      <c r="AA32" s="82"/>
      <c r="AB32" s="82"/>
      <c r="AC32" s="82"/>
      <c r="AD32" s="82"/>
      <c r="AE32" s="10" t="s">
        <v>384</v>
      </c>
      <c r="AH32" s="23">
        <f>SUM('2021 Detail'!J31:U31)+SUM('2021 Detail'!AA31:AC31)</f>
        <v>15051.000000000002</v>
      </c>
      <c r="AJ32" s="23">
        <f t="shared" si="3"/>
        <v>-1951.0000000000018</v>
      </c>
      <c r="AL32" t="str">
        <f t="shared" si="4"/>
        <v>Down</v>
      </c>
      <c r="AQ32" s="23">
        <v>4561.1000000000004</v>
      </c>
    </row>
    <row r="33" spans="1:43" x14ac:dyDescent="0.2">
      <c r="A33" s="252" t="s">
        <v>41</v>
      </c>
      <c r="B33" s="9">
        <v>0</v>
      </c>
      <c r="C33" s="9" t="s">
        <v>495</v>
      </c>
      <c r="D33" s="9" t="s">
        <v>495</v>
      </c>
      <c r="E33" s="9"/>
      <c r="F33" s="9">
        <v>0</v>
      </c>
      <c r="G33" s="83">
        <v>5560</v>
      </c>
      <c r="H33" s="83">
        <f t="shared" si="0"/>
        <v>4260</v>
      </c>
      <c r="I33" s="133">
        <f t="shared" si="1"/>
        <v>0.76619999999999999</v>
      </c>
      <c r="J33" s="82">
        <v>0</v>
      </c>
      <c r="K33" s="82"/>
      <c r="L33" s="82"/>
      <c r="M33" s="82">
        <v>690</v>
      </c>
      <c r="N33" s="82"/>
      <c r="O33" s="82"/>
      <c r="P33" s="82">
        <v>1190</v>
      </c>
      <c r="Q33" s="82"/>
      <c r="R33" s="82"/>
      <c r="S33" s="23">
        <v>690</v>
      </c>
      <c r="T33" s="23"/>
      <c r="U33" s="23">
        <v>1690</v>
      </c>
      <c r="V33" s="7" t="s">
        <v>520</v>
      </c>
      <c r="W33" s="82">
        <f t="shared" si="2"/>
        <v>1300</v>
      </c>
      <c r="X33" s="4"/>
      <c r="Y33" s="4"/>
      <c r="Z33" s="4"/>
      <c r="AA33" s="82"/>
      <c r="AB33" s="82"/>
      <c r="AC33" s="82"/>
      <c r="AD33" s="82"/>
      <c r="AE33" s="10" t="s">
        <v>384</v>
      </c>
      <c r="AH33" s="23">
        <f>SUM('2021 Detail'!J32:U32)+SUM('2021 Detail'!AA32:AC32)</f>
        <v>4127</v>
      </c>
      <c r="AJ33" s="23">
        <f t="shared" si="3"/>
        <v>133</v>
      </c>
      <c r="AL33" t="str">
        <f t="shared" si="4"/>
        <v>Up</v>
      </c>
      <c r="AQ33" s="23">
        <v>1277.02</v>
      </c>
    </row>
    <row r="34" spans="1:43" x14ac:dyDescent="0.2">
      <c r="A34" s="252" t="s">
        <v>42</v>
      </c>
      <c r="B34" s="9">
        <v>0</v>
      </c>
      <c r="C34" s="9">
        <v>0</v>
      </c>
      <c r="D34" s="9" t="s">
        <v>495</v>
      </c>
      <c r="E34" s="9"/>
      <c r="F34" s="9">
        <v>0</v>
      </c>
      <c r="G34" s="83">
        <v>9729</v>
      </c>
      <c r="H34" s="83">
        <f t="shared" si="0"/>
        <v>6101.6</v>
      </c>
      <c r="I34" s="133">
        <f t="shared" si="1"/>
        <v>0.62719999999999998</v>
      </c>
      <c r="J34" s="82">
        <v>0</v>
      </c>
      <c r="K34" s="82"/>
      <c r="L34" s="82"/>
      <c r="M34" s="82">
        <v>2100</v>
      </c>
      <c r="N34" s="82"/>
      <c r="O34" s="82"/>
      <c r="P34" s="82">
        <v>1200</v>
      </c>
      <c r="Q34" s="82"/>
      <c r="R34" s="82"/>
      <c r="S34" s="23">
        <v>1501.6</v>
      </c>
      <c r="T34" s="23"/>
      <c r="U34" s="23">
        <v>1300</v>
      </c>
      <c r="V34" s="7" t="s">
        <v>521</v>
      </c>
      <c r="W34" s="82">
        <f t="shared" si="2"/>
        <v>3627.3999999999996</v>
      </c>
      <c r="X34" s="4"/>
      <c r="Y34" s="4"/>
      <c r="Z34" s="4"/>
      <c r="AA34" s="82"/>
      <c r="AB34" s="82"/>
      <c r="AC34" s="82"/>
      <c r="AD34" s="82"/>
      <c r="AE34" s="10" t="s">
        <v>384</v>
      </c>
      <c r="AH34" s="23">
        <f>SUM('2021 Detail'!J33:U33)+SUM('2021 Detail'!AA33:AC33)</f>
        <v>12675</v>
      </c>
      <c r="AJ34" s="23">
        <f t="shared" si="3"/>
        <v>-6573.4</v>
      </c>
      <c r="AL34" t="str">
        <f t="shared" si="4"/>
        <v>Down</v>
      </c>
      <c r="AQ34" s="23">
        <v>3922.39</v>
      </c>
    </row>
    <row r="35" spans="1:43" x14ac:dyDescent="0.2">
      <c r="A35" s="252" t="s">
        <v>43</v>
      </c>
      <c r="B35" s="9" t="s">
        <v>495</v>
      </c>
      <c r="C35" s="9" t="s">
        <v>495</v>
      </c>
      <c r="D35" s="9" t="s">
        <v>495</v>
      </c>
      <c r="E35" s="9"/>
      <c r="F35" s="9" t="s">
        <v>495</v>
      </c>
      <c r="G35" s="83">
        <v>7887</v>
      </c>
      <c r="H35" s="83">
        <f t="shared" si="0"/>
        <v>7887</v>
      </c>
      <c r="I35" s="133">
        <f t="shared" si="1"/>
        <v>1</v>
      </c>
      <c r="J35" s="82">
        <v>657.25</v>
      </c>
      <c r="K35" s="82">
        <v>657.25</v>
      </c>
      <c r="L35" s="82">
        <v>657.25</v>
      </c>
      <c r="M35" s="82">
        <v>657.25</v>
      </c>
      <c r="N35" s="82">
        <v>657.25</v>
      </c>
      <c r="O35" s="82">
        <v>657.25</v>
      </c>
      <c r="P35" s="82">
        <v>657.25</v>
      </c>
      <c r="Q35" s="82">
        <v>657.25</v>
      </c>
      <c r="R35" s="82">
        <v>657.25</v>
      </c>
      <c r="S35" s="23">
        <v>657.25</v>
      </c>
      <c r="T35" s="23">
        <v>657.25</v>
      </c>
      <c r="U35" s="23">
        <v>657.25</v>
      </c>
      <c r="V35" s="7" t="s">
        <v>522</v>
      </c>
      <c r="W35" s="82">
        <f t="shared" si="2"/>
        <v>0</v>
      </c>
      <c r="X35" s="4"/>
      <c r="Y35" s="4"/>
      <c r="Z35" s="4"/>
      <c r="AA35" s="82"/>
      <c r="AB35" s="82"/>
      <c r="AC35" s="82"/>
      <c r="AD35" s="82"/>
      <c r="AE35" s="10" t="s">
        <v>382</v>
      </c>
      <c r="AH35" s="23">
        <f>SUM('2021 Detail'!J34:U34)+SUM('2021 Detail'!AA34:AC34)</f>
        <v>7886.9999999999982</v>
      </c>
      <c r="AJ35" s="23">
        <f t="shared" si="3"/>
        <v>0</v>
      </c>
      <c r="AL35" t="str">
        <f t="shared" si="4"/>
        <v>Same</v>
      </c>
      <c r="AQ35" s="23">
        <v>556.65</v>
      </c>
    </row>
    <row r="36" spans="1:43" x14ac:dyDescent="0.2">
      <c r="A36" s="252" t="s">
        <v>44</v>
      </c>
      <c r="B36" s="9" t="s">
        <v>495</v>
      </c>
      <c r="C36" s="9" t="s">
        <v>495</v>
      </c>
      <c r="D36" s="9" t="s">
        <v>495</v>
      </c>
      <c r="E36" s="9"/>
      <c r="F36" s="9">
        <v>0</v>
      </c>
      <c r="G36" s="83">
        <v>9729</v>
      </c>
      <c r="H36" s="83">
        <f t="shared" si="0"/>
        <v>9729</v>
      </c>
      <c r="I36" s="133">
        <f t="shared" si="1"/>
        <v>1</v>
      </c>
      <c r="J36" s="82">
        <v>0</v>
      </c>
      <c r="K36" s="82"/>
      <c r="L36" s="82"/>
      <c r="M36" s="82">
        <v>1500</v>
      </c>
      <c r="N36" s="82"/>
      <c r="O36" s="82"/>
      <c r="P36" s="82">
        <v>3500</v>
      </c>
      <c r="Q36" s="82"/>
      <c r="R36" s="82"/>
      <c r="S36" s="23">
        <v>1500</v>
      </c>
      <c r="T36" s="23"/>
      <c r="U36" s="23">
        <v>3229</v>
      </c>
      <c r="V36" s="7" t="s">
        <v>523</v>
      </c>
      <c r="W36" s="82">
        <f t="shared" si="2"/>
        <v>0</v>
      </c>
      <c r="X36" s="4"/>
      <c r="Y36" s="4"/>
      <c r="Z36" s="4"/>
      <c r="AA36" s="82"/>
      <c r="AB36" s="82"/>
      <c r="AC36" s="82"/>
      <c r="AD36" s="82"/>
      <c r="AE36" s="10" t="s">
        <v>384</v>
      </c>
      <c r="AH36" s="23">
        <f>SUM('2021 Detail'!J35:U35)+SUM('2021 Detail'!AA35:AC35)</f>
        <v>9138</v>
      </c>
      <c r="AJ36" s="23">
        <f t="shared" si="3"/>
        <v>591</v>
      </c>
      <c r="AL36" t="str">
        <f t="shared" si="4"/>
        <v>Up</v>
      </c>
      <c r="AQ36" s="23">
        <v>2827.64</v>
      </c>
    </row>
    <row r="37" spans="1:43" x14ac:dyDescent="0.2">
      <c r="A37" s="252" t="s">
        <v>45</v>
      </c>
      <c r="B37" s="9" t="s">
        <v>495</v>
      </c>
      <c r="C37" s="9" t="s">
        <v>495</v>
      </c>
      <c r="D37" s="9" t="s">
        <v>495</v>
      </c>
      <c r="E37" s="9"/>
      <c r="F37" s="9" t="s">
        <v>495</v>
      </c>
      <c r="G37" s="83">
        <v>19789</v>
      </c>
      <c r="H37" s="83">
        <f t="shared" si="0"/>
        <v>6000</v>
      </c>
      <c r="I37" s="133">
        <f t="shared" si="1"/>
        <v>0.30320000000000003</v>
      </c>
      <c r="J37" s="82">
        <v>500</v>
      </c>
      <c r="K37" s="82">
        <v>500</v>
      </c>
      <c r="L37" s="82">
        <v>500</v>
      </c>
      <c r="M37" s="82">
        <v>500</v>
      </c>
      <c r="N37" s="82">
        <v>500</v>
      </c>
      <c r="O37" s="82">
        <v>500</v>
      </c>
      <c r="P37" s="82">
        <v>500</v>
      </c>
      <c r="Q37" s="82">
        <v>500</v>
      </c>
      <c r="R37" s="82">
        <v>500</v>
      </c>
      <c r="S37" s="23">
        <v>500</v>
      </c>
      <c r="T37" s="23">
        <v>500</v>
      </c>
      <c r="U37" s="23">
        <v>500</v>
      </c>
      <c r="V37" s="7" t="s">
        <v>524</v>
      </c>
      <c r="W37" s="82">
        <f t="shared" si="2"/>
        <v>13789</v>
      </c>
      <c r="X37" s="4"/>
      <c r="Y37" s="4"/>
      <c r="Z37" s="4"/>
      <c r="AA37" s="82"/>
      <c r="AB37" s="82"/>
      <c r="AC37" s="82"/>
      <c r="AD37" s="82"/>
      <c r="AE37" s="7" t="s">
        <v>381</v>
      </c>
      <c r="AH37" s="23">
        <f>SUM('2021 Detail'!J36:U36)+SUM('2021 Detail'!AA36:AC36)</f>
        <v>6000</v>
      </c>
      <c r="AJ37" s="23">
        <f t="shared" si="3"/>
        <v>0</v>
      </c>
      <c r="AL37" t="str">
        <f t="shared" si="4"/>
        <v>Same</v>
      </c>
      <c r="AQ37" s="23">
        <v>500</v>
      </c>
    </row>
    <row r="38" spans="1:43" x14ac:dyDescent="0.2">
      <c r="A38" s="252" t="s">
        <v>46</v>
      </c>
      <c r="B38" s="9" t="s">
        <v>495</v>
      </c>
      <c r="C38" s="9" t="s">
        <v>495</v>
      </c>
      <c r="D38" s="9">
        <v>0</v>
      </c>
      <c r="E38" s="9"/>
      <c r="F38" s="9" t="s">
        <v>495</v>
      </c>
      <c r="G38" s="83">
        <v>13547</v>
      </c>
      <c r="H38" s="83">
        <f>SUM(J38:U38)+SUM(AA38:AC38)</f>
        <v>13547</v>
      </c>
      <c r="I38" s="133">
        <f t="shared" si="1"/>
        <v>1</v>
      </c>
      <c r="J38" s="82">
        <v>1128.99</v>
      </c>
      <c r="K38" s="82">
        <v>1128.9100000000001</v>
      </c>
      <c r="L38" s="82">
        <v>1128.9100000000001</v>
      </c>
      <c r="M38" s="82">
        <v>1128.9100000000001</v>
      </c>
      <c r="N38" s="82">
        <v>1128.9100000000001</v>
      </c>
      <c r="O38" s="82">
        <v>1128.9100000000001</v>
      </c>
      <c r="P38" s="82">
        <v>1128.9100000000001</v>
      </c>
      <c r="Q38" s="82">
        <v>1128.9100000000001</v>
      </c>
      <c r="R38" s="82">
        <v>1128.9100000000001</v>
      </c>
      <c r="S38" s="23">
        <v>1128.9100000000001</v>
      </c>
      <c r="T38" s="23">
        <v>1128.9100000000001</v>
      </c>
      <c r="U38" s="23">
        <v>1128.9100000000001</v>
      </c>
      <c r="V38" s="7" t="s">
        <v>525</v>
      </c>
      <c r="W38" s="82">
        <f t="shared" si="2"/>
        <v>0</v>
      </c>
      <c r="X38" s="4"/>
      <c r="Y38" s="4"/>
      <c r="Z38" s="4"/>
      <c r="AA38" s="82"/>
      <c r="AB38" s="82"/>
      <c r="AC38" s="82"/>
      <c r="AD38" s="82"/>
      <c r="AE38" s="7" t="s">
        <v>381</v>
      </c>
      <c r="AH38" s="23">
        <f>SUM('2021 Detail'!J37:U37)+SUM('2021 Detail'!AA37:AC37)</f>
        <v>13547</v>
      </c>
      <c r="AJ38" s="23">
        <f t="shared" si="3"/>
        <v>0</v>
      </c>
      <c r="AL38" t="str">
        <f t="shared" si="4"/>
        <v>Same</v>
      </c>
      <c r="AQ38" s="23">
        <v>1128.9100000000001</v>
      </c>
    </row>
    <row r="39" spans="1:43" x14ac:dyDescent="0.2">
      <c r="B39" s="9"/>
      <c r="C39" s="9"/>
      <c r="E39" s="9"/>
      <c r="F39" s="9"/>
      <c r="G39" s="205"/>
      <c r="H39" s="197"/>
      <c r="I39" s="133"/>
      <c r="W39" s="82"/>
      <c r="X39" s="4"/>
      <c r="Y39" s="4"/>
      <c r="Z39" s="4"/>
      <c r="AA39" s="82"/>
      <c r="AB39" s="82"/>
      <c r="AC39" s="82"/>
      <c r="AD39" s="82"/>
      <c r="AJ39" s="23"/>
    </row>
    <row r="40" spans="1:43" x14ac:dyDescent="0.2">
      <c r="A40" s="226" t="s">
        <v>1142</v>
      </c>
      <c r="G40" s="83">
        <f>SUM(G8:G39)</f>
        <v>481880</v>
      </c>
      <c r="H40" s="83">
        <f>SUM(H8:H39)</f>
        <v>394128.93999999994</v>
      </c>
      <c r="I40" s="133">
        <f t="shared" si="1"/>
        <v>0.81789999999999996</v>
      </c>
      <c r="J40" s="83">
        <f>SUM(J8:J39)</f>
        <v>11899.3</v>
      </c>
      <c r="K40" s="83">
        <f t="shared" ref="K40:W40" si="5">SUM(K8:K39)</f>
        <v>19562.02</v>
      </c>
      <c r="L40" s="83">
        <f t="shared" si="5"/>
        <v>24271.02</v>
      </c>
      <c r="M40" s="83">
        <f t="shared" si="5"/>
        <v>24175.02</v>
      </c>
      <c r="N40" s="83">
        <f t="shared" si="5"/>
        <v>14781.019999999999</v>
      </c>
      <c r="O40" s="83">
        <f t="shared" si="5"/>
        <v>40571.020000000011</v>
      </c>
      <c r="P40" s="83">
        <f t="shared" si="5"/>
        <v>34065.070000000007</v>
      </c>
      <c r="Q40" s="83">
        <f t="shared" si="5"/>
        <v>23371.02</v>
      </c>
      <c r="R40" s="83">
        <f t="shared" si="5"/>
        <v>34687.020000000004</v>
      </c>
      <c r="S40" s="4">
        <f t="shared" si="5"/>
        <v>38511.83</v>
      </c>
      <c r="T40" s="4">
        <f t="shared" si="5"/>
        <v>35025.020000000004</v>
      </c>
      <c r="U40" s="4">
        <f t="shared" si="5"/>
        <v>58251.580000000009</v>
      </c>
      <c r="V40" s="77"/>
      <c r="W40" s="82">
        <f t="shared" si="5"/>
        <v>87751.06</v>
      </c>
      <c r="X40" s="4"/>
      <c r="Y40" s="4"/>
      <c r="Z40" s="4"/>
      <c r="AA40" s="83">
        <f t="shared" ref="AA40:AC40" si="6">SUM(AA8:AA39)</f>
        <v>3958</v>
      </c>
      <c r="AB40" s="83">
        <f t="shared" si="6"/>
        <v>31000</v>
      </c>
      <c r="AC40" s="83">
        <f t="shared" si="6"/>
        <v>0</v>
      </c>
      <c r="AD40" s="4"/>
      <c r="AH40" s="23">
        <f>SUM(AH8:AH39)</f>
        <v>359442.07999999996</v>
      </c>
      <c r="AJ40" s="23">
        <f t="shared" si="3"/>
        <v>34686.859999999986</v>
      </c>
      <c r="AM40" s="11">
        <f>SUM(J40:R40)+SUM(S41:U41)+SUM('2020 detail'!AA39:AC39)</f>
        <v>375611.94999999995</v>
      </c>
      <c r="AN40" s="24">
        <f>ROUND((AM40/G40),4)</f>
        <v>0.77949999999999997</v>
      </c>
      <c r="AO40" s="24">
        <f>ROUND((SUM(J41:U41)/G41),4)</f>
        <v>0.74529999999999996</v>
      </c>
      <c r="AQ40" s="23">
        <f>SUM(AQ8:AQ39)</f>
        <v>74670.78</v>
      </c>
    </row>
    <row r="41" spans="1:43" x14ac:dyDescent="0.2">
      <c r="A41" s="253" t="s">
        <v>1056</v>
      </c>
      <c r="G41" s="206">
        <f>'2021 Detail'!G39</f>
        <v>481879</v>
      </c>
      <c r="H41" s="206">
        <f>SUM(J41:U41)+SUM(AA41:AC41)</f>
        <v>359442.08000000007</v>
      </c>
      <c r="I41" s="207">
        <f t="shared" si="1"/>
        <v>0.74590000000000001</v>
      </c>
      <c r="J41" s="206">
        <f>'2021 Detail'!J39</f>
        <v>16499.91</v>
      </c>
      <c r="K41" s="206">
        <f>'2021 Detail'!K39</f>
        <v>19378.28</v>
      </c>
      <c r="L41" s="206">
        <f>'2021 Detail'!L39</f>
        <v>21483.559999999998</v>
      </c>
      <c r="M41" s="206">
        <f>'2021 Detail'!M39</f>
        <v>30933.540000000005</v>
      </c>
      <c r="N41" s="206">
        <f>'2021 Detail'!N39</f>
        <v>27417.29</v>
      </c>
      <c r="O41" s="206">
        <f>'2021 Detail'!O39</f>
        <v>42207.29</v>
      </c>
      <c r="P41" s="206">
        <f>'2021 Detail'!P39</f>
        <v>21733.54</v>
      </c>
      <c r="Q41" s="206">
        <f>'2021 Detail'!Q39</f>
        <v>17233.54</v>
      </c>
      <c r="R41" s="206">
        <f>'2021 Detail'!R39</f>
        <v>37544.540000000008</v>
      </c>
      <c r="S41" s="206">
        <f>'2021 Detail'!S39</f>
        <v>23797.530000000002</v>
      </c>
      <c r="T41" s="206">
        <f>'2021 Detail'!T39</f>
        <v>26230.280000000002</v>
      </c>
      <c r="U41" s="206">
        <f>'2021 Detail'!U39</f>
        <v>74670.78</v>
      </c>
      <c r="V41" s="206"/>
      <c r="W41" s="206"/>
      <c r="X41" s="206"/>
      <c r="Y41" s="4"/>
      <c r="Z41" s="4"/>
      <c r="AA41" s="206">
        <f>'2021 Detail'!AA39</f>
        <v>312</v>
      </c>
      <c r="AB41" s="206">
        <f>'2021 Detail'!AB39</f>
        <v>0</v>
      </c>
      <c r="AC41" s="206">
        <f>'2021 Detail'!AC39</f>
        <v>0</v>
      </c>
      <c r="AJ41" s="23"/>
    </row>
    <row r="42" spans="1:43" x14ac:dyDescent="0.2">
      <c r="G42" s="205"/>
      <c r="H42" s="197"/>
      <c r="Y42" s="4"/>
      <c r="Z42" s="4"/>
      <c r="AJ42" s="23"/>
    </row>
    <row r="43" spans="1:43" x14ac:dyDescent="0.2">
      <c r="A43" s="226" t="str">
        <f t="shared" ref="A43:U43" si="7">A$510</f>
        <v>Diocesan Total 2022</v>
      </c>
      <c r="B43" s="226">
        <f t="shared" si="7"/>
        <v>0</v>
      </c>
      <c r="C43" s="226">
        <f t="shared" si="7"/>
        <v>0</v>
      </c>
      <c r="D43" s="258">
        <f t="shared" si="7"/>
        <v>0</v>
      </c>
      <c r="E43" s="226">
        <f t="shared" si="7"/>
        <v>0</v>
      </c>
      <c r="F43" s="226">
        <f t="shared" si="7"/>
        <v>0</v>
      </c>
      <c r="G43" s="83">
        <f t="shared" si="7"/>
        <v>8116012</v>
      </c>
      <c r="H43" s="83">
        <f t="shared" si="7"/>
        <v>6559276.3399999999</v>
      </c>
      <c r="I43" s="133">
        <f t="shared" si="7"/>
        <v>0.80820000000000003</v>
      </c>
      <c r="J43" s="83">
        <f t="shared" si="7"/>
        <v>378351.23</v>
      </c>
      <c r="K43" s="83">
        <f t="shared" si="7"/>
        <v>449442.02</v>
      </c>
      <c r="L43" s="83">
        <f t="shared" si="7"/>
        <v>517036.34</v>
      </c>
      <c r="M43" s="83">
        <f t="shared" si="7"/>
        <v>434875.54000000004</v>
      </c>
      <c r="N43" s="83">
        <f t="shared" si="7"/>
        <v>497786.23</v>
      </c>
      <c r="O43" s="83">
        <f t="shared" si="7"/>
        <v>599586.94000000006</v>
      </c>
      <c r="P43" s="83">
        <f t="shared" si="7"/>
        <v>498701.35</v>
      </c>
      <c r="Q43" s="83">
        <f t="shared" si="7"/>
        <v>538018.41999999993</v>
      </c>
      <c r="R43" s="83">
        <f t="shared" si="7"/>
        <v>551902.79</v>
      </c>
      <c r="S43" s="4">
        <f t="shared" si="7"/>
        <v>564217.18000000005</v>
      </c>
      <c r="T43" s="4">
        <f t="shared" si="7"/>
        <v>645999.05000000005</v>
      </c>
      <c r="U43" s="4">
        <f t="shared" si="7"/>
        <v>736614.44</v>
      </c>
      <c r="V43" s="77"/>
      <c r="W43" s="82"/>
      <c r="X43" s="4"/>
      <c r="Y43" s="4"/>
      <c r="Z43" s="4"/>
      <c r="AA43" s="83"/>
      <c r="AB43" s="83"/>
      <c r="AC43" s="83"/>
      <c r="AD43" s="4"/>
      <c r="AH43" s="23">
        <f>AH$510</f>
        <v>6587993.7699999996</v>
      </c>
      <c r="AJ43" s="23">
        <f>AJ$510</f>
        <v>-28717.429999999702</v>
      </c>
    </row>
    <row r="44" spans="1:43" x14ac:dyDescent="0.2">
      <c r="A44" s="253" t="str">
        <f t="shared" ref="A44:P44" si="8">A$511</f>
        <v>Diocesan Total 2021</v>
      </c>
      <c r="B44" s="253">
        <f t="shared" si="8"/>
        <v>0</v>
      </c>
      <c r="C44" s="253">
        <f t="shared" si="8"/>
        <v>0</v>
      </c>
      <c r="D44" s="259">
        <f t="shared" si="8"/>
        <v>0</v>
      </c>
      <c r="E44" s="253">
        <f t="shared" si="8"/>
        <v>0</v>
      </c>
      <c r="F44" s="253">
        <f t="shared" si="8"/>
        <v>0</v>
      </c>
      <c r="G44" s="206">
        <f t="shared" si="8"/>
        <v>8132853</v>
      </c>
      <c r="H44" s="206">
        <f t="shared" si="8"/>
        <v>6587993.7700000005</v>
      </c>
      <c r="I44" s="207">
        <f t="shared" si="8"/>
        <v>0.81</v>
      </c>
      <c r="J44" s="206">
        <f t="shared" si="8"/>
        <v>340336.86</v>
      </c>
      <c r="K44" s="206">
        <f t="shared" si="8"/>
        <v>407387.73</v>
      </c>
      <c r="L44" s="206">
        <f t="shared" si="8"/>
        <v>497955.59</v>
      </c>
      <c r="M44" s="206">
        <f t="shared" si="8"/>
        <v>513800.89999999997</v>
      </c>
      <c r="N44" s="206">
        <f t="shared" si="8"/>
        <v>483760.16000000003</v>
      </c>
      <c r="O44" s="206">
        <f t="shared" si="8"/>
        <v>527451.71000000008</v>
      </c>
      <c r="P44" s="206">
        <f t="shared" si="8"/>
        <v>582882.6100000001</v>
      </c>
      <c r="Q44" s="206">
        <f t="shared" ref="Q44:U44" si="9">Q511</f>
        <v>489302.35</v>
      </c>
      <c r="R44" s="206">
        <f t="shared" si="9"/>
        <v>548459.72</v>
      </c>
      <c r="S44" s="206">
        <f t="shared" si="9"/>
        <v>527708.16999999993</v>
      </c>
      <c r="T44" s="206">
        <f t="shared" si="9"/>
        <v>616975.80999999994</v>
      </c>
      <c r="U44" s="206">
        <f t="shared" si="9"/>
        <v>907302.59</v>
      </c>
      <c r="V44" s="206"/>
      <c r="W44" s="206"/>
      <c r="X44" s="206"/>
      <c r="Y44" s="4"/>
      <c r="Z44" s="4"/>
      <c r="AA44" s="206"/>
      <c r="AB44" s="206"/>
      <c r="AC44" s="206"/>
      <c r="AJ44" s="23"/>
    </row>
    <row r="45" spans="1:43" ht="15.75" x14ac:dyDescent="0.25">
      <c r="G45" s="196" t="s">
        <v>7</v>
      </c>
      <c r="H45" s="197"/>
      <c r="Y45" s="4"/>
      <c r="Z45" s="4"/>
      <c r="AH45" s="171" t="s">
        <v>1136</v>
      </c>
      <c r="AI45" s="172"/>
      <c r="AJ45" s="171" t="s">
        <v>1064</v>
      </c>
    </row>
    <row r="46" spans="1:43" x14ac:dyDescent="0.2">
      <c r="G46" s="205"/>
      <c r="H46" s="197"/>
      <c r="Y46" s="4"/>
      <c r="Z46" s="4"/>
      <c r="AH46" s="171" t="s">
        <v>1137</v>
      </c>
      <c r="AI46" s="172"/>
      <c r="AJ46" s="171" t="s">
        <v>1138</v>
      </c>
    </row>
    <row r="47" spans="1:43" ht="16.5" x14ac:dyDescent="0.25">
      <c r="A47" s="250"/>
      <c r="B47" s="8"/>
      <c r="C47" s="8"/>
      <c r="E47" s="8"/>
      <c r="F47" s="8"/>
      <c r="G47" s="208" t="str">
        <f>$G$3</f>
        <v>2022 PARISH SHARE INFORMATION AS AT 31 DECEMBER 2022</v>
      </c>
      <c r="H47" s="209"/>
      <c r="W47" s="194"/>
      <c r="X47"/>
      <c r="Y47" s="4"/>
      <c r="Z47" s="4"/>
      <c r="AA47"/>
      <c r="AB47"/>
      <c r="AC47"/>
      <c r="AH47" s="172"/>
      <c r="AI47" s="172"/>
      <c r="AJ47" s="171" t="s">
        <v>1139</v>
      </c>
    </row>
    <row r="48" spans="1:43" x14ac:dyDescent="0.2">
      <c r="A48" s="250"/>
      <c r="G48" s="205"/>
      <c r="H48" s="197"/>
      <c r="W48" s="194"/>
      <c r="X48"/>
      <c r="Y48" s="4"/>
      <c r="Z48" s="4"/>
      <c r="AA48"/>
      <c r="AB48"/>
      <c r="AC48"/>
    </row>
    <row r="49" spans="1:45" ht="16.5" x14ac:dyDescent="0.25">
      <c r="A49" s="251" t="s">
        <v>1</v>
      </c>
      <c r="B49" s="151" t="str">
        <f>$B$5</f>
        <v>RM</v>
      </c>
      <c r="C49" s="151" t="str">
        <f>$C$5</f>
        <v>RF</v>
      </c>
      <c r="D49" s="151" t="str">
        <f>$D$5</f>
        <v>Accts</v>
      </c>
      <c r="E49" s="151"/>
      <c r="F49" s="151" t="str">
        <f>$F$5</f>
        <v>Share DD</v>
      </c>
      <c r="G49" s="210" t="str">
        <f>$G$5</f>
        <v xml:space="preserve">2022 Share </v>
      </c>
      <c r="H49" s="211" t="str">
        <f>$H$5</f>
        <v xml:space="preserve">2022 Paid </v>
      </c>
      <c r="I49" s="211" t="str">
        <f>$I$5</f>
        <v xml:space="preserve">% Paid </v>
      </c>
      <c r="J49" s="212">
        <f>$J$5</f>
        <v>44592</v>
      </c>
      <c r="K49" s="212">
        <f>$K$5</f>
        <v>44620</v>
      </c>
      <c r="L49" s="212">
        <f>$L$5</f>
        <v>44651</v>
      </c>
      <c r="M49" s="212">
        <f>$M$5</f>
        <v>44681</v>
      </c>
      <c r="N49" s="212">
        <f>$N$5</f>
        <v>44712</v>
      </c>
      <c r="O49" s="212">
        <f>$O$5</f>
        <v>44742</v>
      </c>
      <c r="P49" s="212">
        <f>$P$5</f>
        <v>44773</v>
      </c>
      <c r="Q49" s="212">
        <f>$Q$5</f>
        <v>44804</v>
      </c>
      <c r="R49" s="212">
        <f>$R$5</f>
        <v>44834</v>
      </c>
      <c r="S49" s="155">
        <f>$S$5</f>
        <v>44865</v>
      </c>
      <c r="T49" s="155">
        <f>$T$5</f>
        <v>44895</v>
      </c>
      <c r="U49" s="155">
        <f>$U$5</f>
        <v>44926</v>
      </c>
      <c r="V49" s="78"/>
      <c r="W49" s="195" t="str">
        <f>$W$5</f>
        <v xml:space="preserve">Outstanding </v>
      </c>
      <c r="X49" s="2"/>
      <c r="Y49" s="4"/>
      <c r="Z49" s="4"/>
      <c r="AA49" s="2">
        <f>$AA$5</f>
        <v>44957</v>
      </c>
      <c r="AB49" s="2">
        <f>$AB$5</f>
        <v>44985</v>
      </c>
      <c r="AC49" s="2">
        <f>$AC$5</f>
        <v>45016</v>
      </c>
      <c r="AE49" s="152" t="str">
        <f>$AE$5</f>
        <v>Benefice</v>
      </c>
      <c r="AH49" s="16" t="s">
        <v>1141</v>
      </c>
      <c r="AJ49" s="170" t="s">
        <v>1140</v>
      </c>
      <c r="AQ49" s="222">
        <f>AQ5</f>
        <v>44588</v>
      </c>
    </row>
    <row r="50" spans="1:45" ht="16.5" x14ac:dyDescent="0.25">
      <c r="A50" s="250"/>
      <c r="G50" s="201" t="s">
        <v>1040</v>
      </c>
      <c r="H50" s="202" t="s">
        <v>1040</v>
      </c>
      <c r="I50" s="203"/>
      <c r="J50" s="202" t="s">
        <v>1040</v>
      </c>
      <c r="K50" s="202" t="s">
        <v>1040</v>
      </c>
      <c r="L50" s="202" t="s">
        <v>1040</v>
      </c>
      <c r="M50" s="202" t="s">
        <v>1040</v>
      </c>
      <c r="N50" s="202" t="s">
        <v>1040</v>
      </c>
      <c r="O50" s="202" t="s">
        <v>1040</v>
      </c>
      <c r="P50" s="202" t="s">
        <v>1040</v>
      </c>
      <c r="Q50" s="202" t="s">
        <v>1040</v>
      </c>
      <c r="R50" s="202" t="s">
        <v>1040</v>
      </c>
      <c r="S50" s="147" t="s">
        <v>1040</v>
      </c>
      <c r="T50" s="147" t="s">
        <v>1040</v>
      </c>
      <c r="U50" s="147" t="s">
        <v>1040</v>
      </c>
      <c r="W50" s="194"/>
      <c r="X50"/>
      <c r="Y50" s="4"/>
      <c r="Z50" s="4"/>
      <c r="AA50"/>
      <c r="AB50"/>
      <c r="AC50"/>
      <c r="AJ50" s="23"/>
    </row>
    <row r="51" spans="1:45" x14ac:dyDescent="0.2">
      <c r="G51" s="205"/>
      <c r="H51" s="197"/>
      <c r="Y51" s="4"/>
      <c r="Z51" s="4"/>
      <c r="AJ51" s="23"/>
    </row>
    <row r="52" spans="1:45" x14ac:dyDescent="0.2">
      <c r="A52" s="226" t="s">
        <v>47</v>
      </c>
      <c r="B52" s="9" t="s">
        <v>495</v>
      </c>
      <c r="C52" s="9" t="s">
        <v>495</v>
      </c>
      <c r="D52" s="9">
        <v>0</v>
      </c>
      <c r="E52" s="9"/>
      <c r="F52" s="9" t="s">
        <v>495</v>
      </c>
      <c r="G52" s="83">
        <v>26841</v>
      </c>
      <c r="H52" s="83">
        <f>SUM(J52:U52)+SUM(AA52:AC52)</f>
        <v>26841</v>
      </c>
      <c r="I52" s="133">
        <f t="shared" ref="I52:I82" si="10">ROUND((H52/G52),4)</f>
        <v>1</v>
      </c>
      <c r="J52" s="82">
        <v>2684</v>
      </c>
      <c r="K52" s="82">
        <v>2684</v>
      </c>
      <c r="L52" s="82">
        <v>2684</v>
      </c>
      <c r="M52" s="82">
        <v>2684</v>
      </c>
      <c r="N52" s="82">
        <v>2684</v>
      </c>
      <c r="O52" s="82">
        <v>2684</v>
      </c>
      <c r="P52" s="82">
        <v>2684</v>
      </c>
      <c r="Q52" s="82">
        <v>2684</v>
      </c>
      <c r="R52" s="82">
        <v>2684</v>
      </c>
      <c r="S52" s="23">
        <v>2685</v>
      </c>
      <c r="T52" s="23"/>
      <c r="U52" s="23"/>
      <c r="V52" s="79" t="s">
        <v>526</v>
      </c>
      <c r="W52" s="82">
        <f t="shared" ref="W52:W82" si="11">G52-H52</f>
        <v>0</v>
      </c>
      <c r="X52" s="4"/>
      <c r="Y52" s="4"/>
      <c r="Z52" s="4"/>
      <c r="AA52" s="82"/>
      <c r="AB52" s="82"/>
      <c r="AC52" s="82"/>
      <c r="AD52" s="23"/>
      <c r="AE52" s="7" t="s">
        <v>386</v>
      </c>
      <c r="AH52" s="23">
        <f>SUM('2021 Detail'!J49:U49)+SUM('2021 Detail'!AA49:AC49)</f>
        <v>26841</v>
      </c>
      <c r="AJ52" s="23">
        <f t="shared" ref="AJ52:AJ84" si="12">H52-AH52</f>
        <v>0</v>
      </c>
      <c r="AL52" t="str">
        <f>IF(AJ52&lt;0,"Down",IF(AJ52&gt;0,"Up","Same"))</f>
        <v>Same</v>
      </c>
    </row>
    <row r="53" spans="1:45" x14ac:dyDescent="0.2">
      <c r="A53" s="226" t="s">
        <v>48</v>
      </c>
      <c r="B53" s="9" t="s">
        <v>495</v>
      </c>
      <c r="C53" s="9" t="s">
        <v>495</v>
      </c>
      <c r="D53" s="9">
        <v>0</v>
      </c>
      <c r="E53" s="9"/>
      <c r="F53" s="9" t="s">
        <v>495</v>
      </c>
      <c r="G53" s="83">
        <v>8146</v>
      </c>
      <c r="H53" s="83">
        <f t="shared" ref="H53:H82" si="13">SUM(J53:U53)+SUM(AA53:AC53)</f>
        <v>8146</v>
      </c>
      <c r="I53" s="133">
        <f t="shared" si="10"/>
        <v>1</v>
      </c>
      <c r="J53" s="82">
        <v>200</v>
      </c>
      <c r="K53" s="82">
        <v>600</v>
      </c>
      <c r="L53" s="82">
        <v>600</v>
      </c>
      <c r="M53" s="82">
        <v>600</v>
      </c>
      <c r="N53" s="82">
        <v>600</v>
      </c>
      <c r="O53" s="82">
        <v>600</v>
      </c>
      <c r="P53" s="82">
        <v>600</v>
      </c>
      <c r="Q53" s="82">
        <v>600</v>
      </c>
      <c r="R53" s="82">
        <v>600</v>
      </c>
      <c r="S53" s="23">
        <v>600</v>
      </c>
      <c r="T53" s="23">
        <v>1946</v>
      </c>
      <c r="U53" s="23">
        <v>600</v>
      </c>
      <c r="V53" s="79" t="s">
        <v>527</v>
      </c>
      <c r="W53" s="82">
        <f t="shared" si="11"/>
        <v>0</v>
      </c>
      <c r="X53" s="79"/>
      <c r="Y53" s="4"/>
      <c r="Z53" s="4"/>
      <c r="AA53" s="82"/>
      <c r="AB53" s="82"/>
      <c r="AC53" s="82"/>
      <c r="AD53" s="23"/>
      <c r="AE53" s="7" t="s">
        <v>386</v>
      </c>
      <c r="AH53" s="23">
        <f>SUM('2021 Detail'!J50:U50)+SUM('2021 Detail'!AA50:AC50)</f>
        <v>4000</v>
      </c>
      <c r="AJ53" s="23">
        <f t="shared" si="12"/>
        <v>4146</v>
      </c>
      <c r="AL53" t="str">
        <f t="shared" ref="AL53:AL82" si="14">IF(AJ53&lt;0,"Down",IF(AJ53&gt;0,"Up","Same"))</f>
        <v>Up</v>
      </c>
      <c r="AQ53" s="23">
        <v>200</v>
      </c>
    </row>
    <row r="54" spans="1:45" x14ac:dyDescent="0.2">
      <c r="A54" s="226" t="s">
        <v>49</v>
      </c>
      <c r="B54" s="9" t="s">
        <v>495</v>
      </c>
      <c r="C54" s="9" t="s">
        <v>495</v>
      </c>
      <c r="D54" s="9">
        <v>0</v>
      </c>
      <c r="E54" s="9"/>
      <c r="F54" s="9">
        <v>0</v>
      </c>
      <c r="G54" s="83">
        <v>34227</v>
      </c>
      <c r="H54" s="83">
        <f t="shared" si="13"/>
        <v>34227</v>
      </c>
      <c r="I54" s="133">
        <f t="shared" si="10"/>
        <v>1</v>
      </c>
      <c r="J54" s="82">
        <v>1000</v>
      </c>
      <c r="K54" s="82">
        <v>1000</v>
      </c>
      <c r="L54" s="82">
        <v>1000</v>
      </c>
      <c r="M54" s="82">
        <v>1000</v>
      </c>
      <c r="N54" s="82">
        <v>1000</v>
      </c>
      <c r="O54" s="82">
        <v>1000</v>
      </c>
      <c r="P54" s="82">
        <v>4000</v>
      </c>
      <c r="Q54" s="82">
        <v>3000</v>
      </c>
      <c r="R54" s="82">
        <v>1000</v>
      </c>
      <c r="S54" s="23">
        <v>14000</v>
      </c>
      <c r="T54" s="23">
        <v>1000</v>
      </c>
      <c r="U54" s="23">
        <v>5227</v>
      </c>
      <c r="V54" s="79" t="s">
        <v>528</v>
      </c>
      <c r="W54" s="82">
        <f t="shared" si="11"/>
        <v>0</v>
      </c>
      <c r="X54" s="79"/>
      <c r="Y54" s="4"/>
      <c r="Z54" s="4"/>
      <c r="AA54" s="82"/>
      <c r="AB54" s="82"/>
      <c r="AC54" s="82"/>
      <c r="AD54" s="23"/>
      <c r="AE54" s="7" t="s">
        <v>387</v>
      </c>
      <c r="AH54" s="23">
        <f>SUM('2021 Detail'!J51:U51)+SUM('2021 Detail'!AA51:AC51)</f>
        <v>25000</v>
      </c>
      <c r="AJ54" s="23">
        <f t="shared" si="12"/>
        <v>9227</v>
      </c>
      <c r="AL54" t="str">
        <f t="shared" si="14"/>
        <v>Up</v>
      </c>
      <c r="AQ54" s="23">
        <v>3500</v>
      </c>
      <c r="AS54" t="s">
        <v>1113</v>
      </c>
    </row>
    <row r="55" spans="1:45" x14ac:dyDescent="0.2">
      <c r="A55" s="226" t="s">
        <v>50</v>
      </c>
      <c r="B55" s="9" t="s">
        <v>495</v>
      </c>
      <c r="C55" s="9" t="s">
        <v>495</v>
      </c>
      <c r="D55" s="9" t="s">
        <v>495</v>
      </c>
      <c r="E55" s="9"/>
      <c r="F55" s="9" t="s">
        <v>495</v>
      </c>
      <c r="G55" s="83">
        <v>4857</v>
      </c>
      <c r="H55" s="83">
        <f t="shared" si="13"/>
        <v>4857</v>
      </c>
      <c r="I55" s="133">
        <f t="shared" si="10"/>
        <v>1</v>
      </c>
      <c r="J55" s="82">
        <v>404.75</v>
      </c>
      <c r="K55" s="82">
        <v>404.75</v>
      </c>
      <c r="L55" s="82">
        <v>404.75</v>
      </c>
      <c r="M55" s="82">
        <v>404.75</v>
      </c>
      <c r="N55" s="82">
        <v>404.75</v>
      </c>
      <c r="O55" s="82">
        <v>404.75</v>
      </c>
      <c r="P55" s="82">
        <v>404.75</v>
      </c>
      <c r="Q55" s="82">
        <v>404.75</v>
      </c>
      <c r="R55" s="82">
        <v>404.75</v>
      </c>
      <c r="S55" s="23">
        <v>404.75</v>
      </c>
      <c r="T55" s="23">
        <v>404.75</v>
      </c>
      <c r="U55" s="23">
        <v>404.75</v>
      </c>
      <c r="V55" s="79" t="s">
        <v>529</v>
      </c>
      <c r="W55" s="82">
        <f t="shared" si="11"/>
        <v>0</v>
      </c>
      <c r="X55" s="79"/>
      <c r="Y55" s="4"/>
      <c r="Z55" s="4"/>
      <c r="AA55" s="82"/>
      <c r="AB55" s="82"/>
      <c r="AC55" s="82"/>
      <c r="AD55" s="23"/>
      <c r="AE55" s="7" t="s">
        <v>389</v>
      </c>
      <c r="AH55" s="23">
        <f>SUM('2021 Detail'!J52:U52)+SUM('2021 Detail'!AA52:AC52)</f>
        <v>4857</v>
      </c>
      <c r="AJ55" s="23">
        <f t="shared" si="12"/>
        <v>0</v>
      </c>
      <c r="AL55" t="str">
        <f t="shared" si="14"/>
        <v>Same</v>
      </c>
      <c r="AQ55" s="23">
        <v>404.75</v>
      </c>
    </row>
    <row r="56" spans="1:45" x14ac:dyDescent="0.2">
      <c r="A56" s="226" t="s">
        <v>51</v>
      </c>
      <c r="B56" s="9" t="s">
        <v>495</v>
      </c>
      <c r="C56" s="9" t="s">
        <v>495</v>
      </c>
      <c r="D56" s="9" t="s">
        <v>495</v>
      </c>
      <c r="E56" s="9"/>
      <c r="F56" s="9">
        <v>0</v>
      </c>
      <c r="G56" s="83">
        <v>4857</v>
      </c>
      <c r="H56" s="83">
        <f t="shared" si="13"/>
        <v>4857</v>
      </c>
      <c r="I56" s="133">
        <f t="shared" si="10"/>
        <v>1</v>
      </c>
      <c r="J56" s="82">
        <v>0</v>
      </c>
      <c r="K56" s="82"/>
      <c r="L56" s="82"/>
      <c r="M56" s="82"/>
      <c r="N56" s="82"/>
      <c r="O56" s="82"/>
      <c r="P56" s="82"/>
      <c r="Q56" s="82"/>
      <c r="R56" s="82"/>
      <c r="S56" s="23">
        <v>4857</v>
      </c>
      <c r="T56" s="23"/>
      <c r="U56" s="23"/>
      <c r="V56" s="79" t="s">
        <v>530</v>
      </c>
      <c r="W56" s="82">
        <f t="shared" si="11"/>
        <v>0</v>
      </c>
      <c r="X56" s="79"/>
      <c r="Y56" s="4"/>
      <c r="Z56" s="4"/>
      <c r="AA56" s="82"/>
      <c r="AB56" s="82"/>
      <c r="AC56" s="82"/>
      <c r="AD56" s="23"/>
      <c r="AE56" s="7" t="s">
        <v>389</v>
      </c>
      <c r="AH56" s="23">
        <f>SUM('2021 Detail'!J53:U53)+SUM('2021 Detail'!AA53:AC53)</f>
        <v>4856.9399999999996</v>
      </c>
      <c r="AJ56" s="23">
        <f t="shared" si="12"/>
        <v>6.0000000000400178E-2</v>
      </c>
      <c r="AL56" t="str">
        <f t="shared" si="14"/>
        <v>Up</v>
      </c>
    </row>
    <row r="57" spans="1:45" x14ac:dyDescent="0.2">
      <c r="A57" s="226" t="s">
        <v>52</v>
      </c>
      <c r="B57" s="9" t="s">
        <v>495</v>
      </c>
      <c r="C57" s="9" t="s">
        <v>495</v>
      </c>
      <c r="D57" s="9">
        <v>0</v>
      </c>
      <c r="E57" s="9"/>
      <c r="F57" s="9">
        <v>0</v>
      </c>
      <c r="G57" s="83">
        <v>25764</v>
      </c>
      <c r="H57" s="83">
        <f t="shared" si="13"/>
        <v>23617</v>
      </c>
      <c r="I57" s="133">
        <f t="shared" si="10"/>
        <v>0.91669999999999996</v>
      </c>
      <c r="J57" s="82">
        <v>2147</v>
      </c>
      <c r="K57" s="82">
        <v>2147</v>
      </c>
      <c r="L57" s="82">
        <v>2147</v>
      </c>
      <c r="M57" s="82">
        <v>2147</v>
      </c>
      <c r="N57" s="82">
        <v>2147</v>
      </c>
      <c r="O57" s="82"/>
      <c r="P57" s="82">
        <v>4294</v>
      </c>
      <c r="Q57" s="82"/>
      <c r="R57" s="82">
        <v>4294</v>
      </c>
      <c r="S57" s="23">
        <v>2147</v>
      </c>
      <c r="T57" s="23">
        <v>2147</v>
      </c>
      <c r="U57" s="23"/>
      <c r="V57" s="79" t="s">
        <v>531</v>
      </c>
      <c r="W57" s="82">
        <f t="shared" si="11"/>
        <v>2147</v>
      </c>
      <c r="X57" s="79"/>
      <c r="Y57" s="4"/>
      <c r="Z57" s="4"/>
      <c r="AA57" s="82"/>
      <c r="AB57" s="82"/>
      <c r="AC57" s="82"/>
      <c r="AD57" s="23"/>
      <c r="AE57" s="7" t="s">
        <v>393</v>
      </c>
      <c r="AH57" s="23">
        <f>SUM('2021 Detail'!J54:U54)+SUM('2021 Detail'!AA54:AC54)</f>
        <v>25764</v>
      </c>
      <c r="AJ57" s="23">
        <f t="shared" si="12"/>
        <v>-2147</v>
      </c>
      <c r="AL57" t="str">
        <f t="shared" si="14"/>
        <v>Down</v>
      </c>
      <c r="AQ57" s="23">
        <v>2147</v>
      </c>
    </row>
    <row r="58" spans="1:45" x14ac:dyDescent="0.2">
      <c r="A58" s="226" t="s">
        <v>53</v>
      </c>
      <c r="B58" s="9" t="s">
        <v>495</v>
      </c>
      <c r="C58" s="9" t="s">
        <v>495</v>
      </c>
      <c r="D58" s="9" t="s">
        <v>495</v>
      </c>
      <c r="E58" s="9"/>
      <c r="F58" s="9">
        <v>0</v>
      </c>
      <c r="G58" s="83">
        <v>4461</v>
      </c>
      <c r="H58" s="83">
        <f t="shared" si="13"/>
        <v>4485.96</v>
      </c>
      <c r="I58" s="133">
        <f t="shared" si="10"/>
        <v>1.0056</v>
      </c>
      <c r="J58" s="82">
        <v>373.83</v>
      </c>
      <c r="K58" s="82">
        <v>373.83</v>
      </c>
      <c r="L58" s="82">
        <v>373.83</v>
      </c>
      <c r="M58" s="82">
        <v>373.83</v>
      </c>
      <c r="N58" s="82">
        <v>373.83</v>
      </c>
      <c r="O58" s="82">
        <v>373.83</v>
      </c>
      <c r="P58" s="82">
        <v>373.83</v>
      </c>
      <c r="Q58" s="82">
        <v>373.83</v>
      </c>
      <c r="R58" s="82">
        <v>373.83</v>
      </c>
      <c r="S58" s="23">
        <v>373.83</v>
      </c>
      <c r="T58" s="23">
        <v>373.83</v>
      </c>
      <c r="U58" s="23">
        <v>373.83</v>
      </c>
      <c r="V58" s="79" t="s">
        <v>532</v>
      </c>
      <c r="W58" s="82">
        <f t="shared" si="11"/>
        <v>-24.960000000000036</v>
      </c>
      <c r="X58" s="79"/>
      <c r="Y58" s="4"/>
      <c r="Z58" s="4"/>
      <c r="AA58" s="82"/>
      <c r="AB58" s="82"/>
      <c r="AC58" s="82"/>
      <c r="AD58" s="23"/>
      <c r="AE58" s="7" t="s">
        <v>393</v>
      </c>
      <c r="AH58" s="23">
        <f>SUM('2021 Detail'!J55:U55)+SUM('2021 Detail'!AA55:AC55)</f>
        <v>4485.96</v>
      </c>
      <c r="AJ58" s="23">
        <f t="shared" si="12"/>
        <v>0</v>
      </c>
      <c r="AL58" t="str">
        <f t="shared" si="14"/>
        <v>Same</v>
      </c>
      <c r="AQ58" s="23">
        <v>373.83</v>
      </c>
    </row>
    <row r="59" spans="1:45" x14ac:dyDescent="0.2">
      <c r="A59" s="226" t="s">
        <v>54</v>
      </c>
      <c r="B59" s="9" t="s">
        <v>495</v>
      </c>
      <c r="C59" s="9" t="s">
        <v>495</v>
      </c>
      <c r="D59" s="9">
        <v>0</v>
      </c>
      <c r="E59" s="9"/>
      <c r="F59" s="9" t="s">
        <v>495</v>
      </c>
      <c r="G59" s="83">
        <v>13020</v>
      </c>
      <c r="H59" s="83">
        <f t="shared" si="13"/>
        <v>9000</v>
      </c>
      <c r="I59" s="133">
        <f t="shared" si="10"/>
        <v>0.69120000000000004</v>
      </c>
      <c r="J59" s="82">
        <v>265</v>
      </c>
      <c r="K59" s="82">
        <v>265</v>
      </c>
      <c r="L59" s="82">
        <v>265</v>
      </c>
      <c r="M59" s="82">
        <v>265</v>
      </c>
      <c r="N59" s="82">
        <v>265</v>
      </c>
      <c r="O59" s="82">
        <v>265</v>
      </c>
      <c r="P59" s="82">
        <v>265</v>
      </c>
      <c r="Q59" s="82">
        <v>265</v>
      </c>
      <c r="R59" s="82">
        <v>720</v>
      </c>
      <c r="S59" s="23">
        <v>720</v>
      </c>
      <c r="T59" s="23">
        <v>720</v>
      </c>
      <c r="U59" s="23">
        <v>4720</v>
      </c>
      <c r="V59" s="79" t="s">
        <v>533</v>
      </c>
      <c r="W59" s="82">
        <f t="shared" si="11"/>
        <v>4020</v>
      </c>
      <c r="X59" s="79"/>
      <c r="Y59" s="4"/>
      <c r="Z59" s="4"/>
      <c r="AA59" s="82"/>
      <c r="AB59" s="82"/>
      <c r="AC59" s="82"/>
      <c r="AD59" s="23"/>
      <c r="AE59" s="7" t="s">
        <v>386</v>
      </c>
      <c r="AH59" s="23">
        <f>SUM('2021 Detail'!J56:U56)+SUM('2021 Detail'!AA56:AC56)</f>
        <v>7002.87</v>
      </c>
      <c r="AJ59" s="23">
        <f t="shared" si="12"/>
        <v>1997.13</v>
      </c>
      <c r="AL59" t="str">
        <f t="shared" si="14"/>
        <v>Up</v>
      </c>
      <c r="AQ59" s="23">
        <v>3265</v>
      </c>
    </row>
    <row r="60" spans="1:45" x14ac:dyDescent="0.2">
      <c r="A60" s="226" t="s">
        <v>55</v>
      </c>
      <c r="B60" s="9" t="s">
        <v>495</v>
      </c>
      <c r="C60" s="9" t="s">
        <v>495</v>
      </c>
      <c r="D60" s="9">
        <v>0</v>
      </c>
      <c r="E60" s="9"/>
      <c r="F60" s="9">
        <v>0</v>
      </c>
      <c r="G60" s="83">
        <v>11417</v>
      </c>
      <c r="H60" s="83">
        <f t="shared" si="13"/>
        <v>11448</v>
      </c>
      <c r="I60" s="133">
        <f t="shared" si="10"/>
        <v>1.0026999999999999</v>
      </c>
      <c r="J60" s="82">
        <v>0</v>
      </c>
      <c r="K60" s="82">
        <v>954</v>
      </c>
      <c r="L60" s="82">
        <v>477</v>
      </c>
      <c r="M60" s="82">
        <v>477</v>
      </c>
      <c r="N60" s="82">
        <v>477</v>
      </c>
      <c r="O60" s="82">
        <v>477</v>
      </c>
      <c r="P60" s="82">
        <v>954</v>
      </c>
      <c r="Q60" s="82">
        <v>954</v>
      </c>
      <c r="R60" s="82">
        <v>954</v>
      </c>
      <c r="S60" s="23">
        <v>954</v>
      </c>
      <c r="T60" s="23">
        <v>954</v>
      </c>
      <c r="U60" s="23">
        <v>3816</v>
      </c>
      <c r="V60" s="79" t="s">
        <v>534</v>
      </c>
      <c r="W60" s="82">
        <f t="shared" si="11"/>
        <v>-31</v>
      </c>
      <c r="X60" s="79"/>
      <c r="Y60" s="4"/>
      <c r="Z60" s="4"/>
      <c r="AA60" s="82"/>
      <c r="AB60" s="82"/>
      <c r="AC60" s="82"/>
      <c r="AD60" s="23"/>
      <c r="AE60" s="7" t="s">
        <v>386</v>
      </c>
      <c r="AH60" s="23">
        <f>SUM('2021 Detail'!J57:U57)+SUM('2021 Detail'!AA57:AC57)</f>
        <v>8586</v>
      </c>
      <c r="AJ60" s="23">
        <f t="shared" si="12"/>
        <v>2862</v>
      </c>
      <c r="AL60" t="str">
        <f t="shared" si="14"/>
        <v>Up</v>
      </c>
      <c r="AQ60" s="23">
        <v>3339</v>
      </c>
    </row>
    <row r="61" spans="1:45" x14ac:dyDescent="0.2">
      <c r="A61" s="226" t="s">
        <v>56</v>
      </c>
      <c r="B61" s="9" t="s">
        <v>495</v>
      </c>
      <c r="C61" s="9" t="s">
        <v>495</v>
      </c>
      <c r="D61" s="9">
        <v>0</v>
      </c>
      <c r="E61" s="9"/>
      <c r="F61" s="9" t="s">
        <v>495</v>
      </c>
      <c r="G61" s="83">
        <v>7344</v>
      </c>
      <c r="H61" s="83">
        <f t="shared" si="13"/>
        <v>3672</v>
      </c>
      <c r="I61" s="133">
        <f t="shared" si="10"/>
        <v>0.5</v>
      </c>
      <c r="J61" s="82">
        <v>130</v>
      </c>
      <c r="K61" s="82">
        <v>150</v>
      </c>
      <c r="L61" s="82">
        <v>150</v>
      </c>
      <c r="M61" s="82">
        <v>150</v>
      </c>
      <c r="N61" s="82">
        <v>150</v>
      </c>
      <c r="O61" s="82">
        <v>150</v>
      </c>
      <c r="P61" s="82">
        <v>150</v>
      </c>
      <c r="Q61" s="82">
        <v>150</v>
      </c>
      <c r="R61" s="82">
        <v>150</v>
      </c>
      <c r="S61" s="23">
        <v>150</v>
      </c>
      <c r="T61" s="23">
        <v>150</v>
      </c>
      <c r="U61" s="23">
        <v>2042</v>
      </c>
      <c r="V61" s="79" t="s">
        <v>535</v>
      </c>
      <c r="W61" s="82">
        <f t="shared" si="11"/>
        <v>3672</v>
      </c>
      <c r="X61" s="79"/>
      <c r="Y61" s="4"/>
      <c r="Z61" s="4"/>
      <c r="AA61" s="82"/>
      <c r="AB61" s="82"/>
      <c r="AC61" s="82"/>
      <c r="AD61" s="23"/>
      <c r="AE61" s="7" t="s">
        <v>386</v>
      </c>
      <c r="AH61" s="23">
        <f>SUM('2021 Detail'!J58:U58)+SUM('2021 Detail'!AA58:AC58)</f>
        <v>1560</v>
      </c>
      <c r="AJ61" s="23">
        <f t="shared" si="12"/>
        <v>2112</v>
      </c>
      <c r="AL61" t="str">
        <f t="shared" si="14"/>
        <v>Up</v>
      </c>
      <c r="AQ61" s="23">
        <v>130</v>
      </c>
    </row>
    <row r="62" spans="1:45" x14ac:dyDescent="0.2">
      <c r="A62" s="226" t="s">
        <v>57</v>
      </c>
      <c r="B62" s="9" t="s">
        <v>495</v>
      </c>
      <c r="C62" s="9" t="s">
        <v>495</v>
      </c>
      <c r="D62" s="9" t="s">
        <v>495</v>
      </c>
      <c r="E62" s="9"/>
      <c r="F62" s="9" t="s">
        <v>495</v>
      </c>
      <c r="G62" s="83">
        <v>61316</v>
      </c>
      <c r="H62" s="83">
        <f t="shared" si="13"/>
        <v>30832.560000000005</v>
      </c>
      <c r="I62" s="133">
        <f t="shared" si="10"/>
        <v>0.50280000000000002</v>
      </c>
      <c r="J62" s="82">
        <v>2569.38</v>
      </c>
      <c r="K62" s="82">
        <v>2569.38</v>
      </c>
      <c r="L62" s="82">
        <v>2569.38</v>
      </c>
      <c r="M62" s="82">
        <v>2569.38</v>
      </c>
      <c r="N62" s="82">
        <v>2569.38</v>
      </c>
      <c r="O62" s="82">
        <v>2569.38</v>
      </c>
      <c r="P62" s="82">
        <v>2569.38</v>
      </c>
      <c r="Q62" s="82">
        <v>2569.38</v>
      </c>
      <c r="R62" s="82">
        <v>0</v>
      </c>
      <c r="S62" s="23">
        <v>5138.76</v>
      </c>
      <c r="T62" s="23">
        <v>2569.38</v>
      </c>
      <c r="U62" s="23">
        <v>2569.38</v>
      </c>
      <c r="V62" s="79" t="s">
        <v>536</v>
      </c>
      <c r="W62" s="82">
        <f t="shared" si="11"/>
        <v>30483.439999999995</v>
      </c>
      <c r="X62" s="79"/>
      <c r="Y62" s="4"/>
      <c r="Z62" s="4"/>
      <c r="AA62" s="82"/>
      <c r="AB62" s="82"/>
      <c r="AC62" s="82"/>
      <c r="AD62" s="23"/>
      <c r="AE62" s="7" t="s">
        <v>388</v>
      </c>
      <c r="AH62" s="23">
        <f>SUM('2021 Detail'!J59:U59)+SUM('2021 Detail'!AA59:AC59)</f>
        <v>30832.560000000009</v>
      </c>
      <c r="AJ62" s="23">
        <f t="shared" si="12"/>
        <v>0</v>
      </c>
      <c r="AL62" t="str">
        <f t="shared" si="14"/>
        <v>Same</v>
      </c>
      <c r="AQ62" s="23">
        <v>2569.38</v>
      </c>
    </row>
    <row r="63" spans="1:45" x14ac:dyDescent="0.2">
      <c r="A63" s="226" t="s">
        <v>58</v>
      </c>
      <c r="B63" s="9" t="s">
        <v>495</v>
      </c>
      <c r="C63" s="9" t="s">
        <v>495</v>
      </c>
      <c r="D63" s="9">
        <v>0</v>
      </c>
      <c r="E63" s="9"/>
      <c r="F63" s="9">
        <v>0</v>
      </c>
      <c r="G63" s="83">
        <v>12412</v>
      </c>
      <c r="H63" s="83">
        <f t="shared" si="13"/>
        <v>12412.200000000003</v>
      </c>
      <c r="I63" s="133">
        <f t="shared" si="10"/>
        <v>1</v>
      </c>
      <c r="J63" s="82">
        <v>1034.3499999999999</v>
      </c>
      <c r="K63" s="82">
        <v>1034.3499999999999</v>
      </c>
      <c r="L63" s="82">
        <v>1034.3499999999999</v>
      </c>
      <c r="M63" s="82">
        <v>1034.3499999999999</v>
      </c>
      <c r="N63" s="82">
        <v>1034.3499999999999</v>
      </c>
      <c r="O63" s="82">
        <v>1034.3499999999999</v>
      </c>
      <c r="P63" s="82">
        <v>1034.3499999999999</v>
      </c>
      <c r="Q63" s="82">
        <v>1034.3499999999999</v>
      </c>
      <c r="R63" s="82">
        <v>1034.3499999999999</v>
      </c>
      <c r="S63" s="23">
        <v>1034.3499999999999</v>
      </c>
      <c r="T63" s="23">
        <v>1034.3499999999999</v>
      </c>
      <c r="U63" s="23">
        <v>1034.3499999999999</v>
      </c>
      <c r="V63" s="79" t="s">
        <v>537</v>
      </c>
      <c r="W63" s="82">
        <f t="shared" si="11"/>
        <v>-0.20000000000254659</v>
      </c>
      <c r="X63" s="79"/>
      <c r="Y63" s="4"/>
      <c r="Z63" s="4"/>
      <c r="AA63" s="82"/>
      <c r="AB63" s="82"/>
      <c r="AC63" s="82"/>
      <c r="AD63" s="23"/>
      <c r="AE63" s="7" t="s">
        <v>389</v>
      </c>
      <c r="AH63" s="23">
        <f>SUM('2021 Detail'!J60:U60)+SUM('2021 Detail'!AA60:AC60)</f>
        <v>12412.200000000003</v>
      </c>
      <c r="AJ63" s="23">
        <f t="shared" si="12"/>
        <v>0</v>
      </c>
      <c r="AL63" t="str">
        <f t="shared" si="14"/>
        <v>Same</v>
      </c>
      <c r="AQ63" s="23">
        <v>1034.3499999999999</v>
      </c>
    </row>
    <row r="64" spans="1:45" x14ac:dyDescent="0.2">
      <c r="A64" s="226" t="s">
        <v>59</v>
      </c>
      <c r="B64" s="9">
        <v>0</v>
      </c>
      <c r="C64" s="9" t="s">
        <v>495</v>
      </c>
      <c r="D64" s="9">
        <v>0</v>
      </c>
      <c r="E64" s="9"/>
      <c r="F64" s="9">
        <v>0</v>
      </c>
      <c r="G64" s="83">
        <v>4857</v>
      </c>
      <c r="H64" s="83">
        <f t="shared" si="13"/>
        <v>4857</v>
      </c>
      <c r="I64" s="133">
        <f t="shared" si="10"/>
        <v>1</v>
      </c>
      <c r="J64" s="82">
        <v>0</v>
      </c>
      <c r="K64" s="82"/>
      <c r="L64" s="82"/>
      <c r="M64" s="82"/>
      <c r="N64" s="82"/>
      <c r="O64" s="82">
        <v>2500</v>
      </c>
      <c r="P64" s="82"/>
      <c r="Q64" s="82"/>
      <c r="R64" s="82"/>
      <c r="S64" s="23"/>
      <c r="T64" s="23"/>
      <c r="U64" s="23">
        <v>2357</v>
      </c>
      <c r="V64" s="79" t="s">
        <v>538</v>
      </c>
      <c r="W64" s="82">
        <f t="shared" si="11"/>
        <v>0</v>
      </c>
      <c r="X64" s="79"/>
      <c r="Y64" s="4"/>
      <c r="Z64" s="4"/>
      <c r="AA64" s="82"/>
      <c r="AB64" s="82"/>
      <c r="AC64" s="82"/>
      <c r="AD64" s="23"/>
      <c r="AE64" s="7" t="s">
        <v>389</v>
      </c>
      <c r="AH64" s="23">
        <f>SUM('2021 Detail'!J61:U61)+SUM('2021 Detail'!AA61:AC61)</f>
        <v>4856.9400000000005</v>
      </c>
      <c r="AJ64" s="23">
        <f t="shared" si="12"/>
        <v>5.9999999999490683E-2</v>
      </c>
      <c r="AL64" t="str">
        <f t="shared" si="14"/>
        <v>Up</v>
      </c>
      <c r="AQ64" s="23">
        <v>2356.94</v>
      </c>
    </row>
    <row r="65" spans="1:43" x14ac:dyDescent="0.2">
      <c r="A65" s="226" t="s">
        <v>60</v>
      </c>
      <c r="B65" s="9" t="s">
        <v>495</v>
      </c>
      <c r="C65" s="9" t="s">
        <v>495</v>
      </c>
      <c r="D65" s="9" t="s">
        <v>495</v>
      </c>
      <c r="E65" s="9"/>
      <c r="F65" s="9">
        <v>0</v>
      </c>
      <c r="G65" s="83">
        <v>41514</v>
      </c>
      <c r="H65" s="83">
        <f t="shared" si="13"/>
        <v>15614</v>
      </c>
      <c r="I65" s="133">
        <f t="shared" si="10"/>
        <v>0.37609999999999999</v>
      </c>
      <c r="J65" s="82">
        <v>0</v>
      </c>
      <c r="K65" s="82"/>
      <c r="L65" s="82">
        <v>7000</v>
      </c>
      <c r="M65" s="82"/>
      <c r="N65" s="82"/>
      <c r="O65" s="82"/>
      <c r="P65" s="82"/>
      <c r="Q65" s="82"/>
      <c r="R65" s="82"/>
      <c r="S65" s="23">
        <v>7000</v>
      </c>
      <c r="T65" s="23"/>
      <c r="U65" s="23">
        <v>1614</v>
      </c>
      <c r="V65" s="79" t="s">
        <v>539</v>
      </c>
      <c r="W65" s="82">
        <f t="shared" si="11"/>
        <v>25900</v>
      </c>
      <c r="X65" s="79"/>
      <c r="Y65" s="4"/>
      <c r="Z65" s="4"/>
      <c r="AA65" s="82"/>
      <c r="AB65" s="82"/>
      <c r="AC65" s="82"/>
      <c r="AD65" s="23"/>
      <c r="AE65" s="7" t="s">
        <v>390</v>
      </c>
      <c r="AH65" s="23">
        <f>SUM('2021 Detail'!J62:U62)+SUM('2021 Detail'!AA62:AC62)</f>
        <v>25000</v>
      </c>
      <c r="AJ65" s="23">
        <f t="shared" si="12"/>
        <v>-9386</v>
      </c>
      <c r="AL65" t="str">
        <f t="shared" si="14"/>
        <v>Down</v>
      </c>
      <c r="AQ65" s="23">
        <v>2000</v>
      </c>
    </row>
    <row r="66" spans="1:43" x14ac:dyDescent="0.2">
      <c r="A66" s="226" t="s">
        <v>61</v>
      </c>
      <c r="B66" s="9" t="s">
        <v>495</v>
      </c>
      <c r="C66" s="9" t="s">
        <v>495</v>
      </c>
      <c r="D66" s="9">
        <v>0</v>
      </c>
      <c r="E66" s="9"/>
      <c r="F66" s="9">
        <v>0</v>
      </c>
      <c r="G66" s="83">
        <v>12667</v>
      </c>
      <c r="H66" s="83">
        <f t="shared" si="13"/>
        <v>4000</v>
      </c>
      <c r="I66" s="133">
        <f t="shared" si="10"/>
        <v>0.31580000000000003</v>
      </c>
      <c r="J66" s="82">
        <v>0</v>
      </c>
      <c r="K66" s="82"/>
      <c r="L66" s="82"/>
      <c r="M66" s="82">
        <v>1000</v>
      </c>
      <c r="N66" s="82"/>
      <c r="O66" s="82"/>
      <c r="P66" s="82"/>
      <c r="Q66" s="82">
        <v>1000</v>
      </c>
      <c r="R66" s="82">
        <v>2000</v>
      </c>
      <c r="S66" s="23"/>
      <c r="T66" s="23"/>
      <c r="U66" s="23"/>
      <c r="V66" s="79" t="s">
        <v>540</v>
      </c>
      <c r="W66" s="82">
        <f t="shared" si="11"/>
        <v>8667</v>
      </c>
      <c r="X66" s="79"/>
      <c r="Y66" s="4"/>
      <c r="Z66" s="4"/>
      <c r="AA66" s="82"/>
      <c r="AB66" s="82"/>
      <c r="AC66" s="82"/>
      <c r="AD66" s="23"/>
      <c r="AE66" s="7" t="s">
        <v>390</v>
      </c>
      <c r="AH66" s="23">
        <f>SUM('2021 Detail'!J63:U63)+SUM('2021 Detail'!AA63:AC63)</f>
        <v>3800</v>
      </c>
      <c r="AJ66" s="23">
        <f t="shared" si="12"/>
        <v>200</v>
      </c>
      <c r="AL66" t="str">
        <f t="shared" si="14"/>
        <v>Up</v>
      </c>
    </row>
    <row r="67" spans="1:43" x14ac:dyDescent="0.2">
      <c r="A67" s="226" t="s">
        <v>62</v>
      </c>
      <c r="B67" s="9" t="s">
        <v>495</v>
      </c>
      <c r="C67" s="9" t="s">
        <v>495</v>
      </c>
      <c r="D67" s="9">
        <v>0</v>
      </c>
      <c r="E67" s="9"/>
      <c r="F67" s="9">
        <v>0</v>
      </c>
      <c r="G67" s="83">
        <v>29013</v>
      </c>
      <c r="H67" s="83">
        <f t="shared" si="13"/>
        <v>24500</v>
      </c>
      <c r="I67" s="133">
        <f t="shared" si="10"/>
        <v>0.84440000000000004</v>
      </c>
      <c r="J67" s="82">
        <v>0</v>
      </c>
      <c r="K67" s="82">
        <v>2000</v>
      </c>
      <c r="L67" s="82">
        <v>3000</v>
      </c>
      <c r="M67" s="82"/>
      <c r="N67" s="82">
        <v>1500</v>
      </c>
      <c r="O67" s="82"/>
      <c r="P67" s="82"/>
      <c r="Q67" s="82">
        <v>7000</v>
      </c>
      <c r="R67" s="82"/>
      <c r="S67" s="23"/>
      <c r="T67" s="23"/>
      <c r="U67" s="23"/>
      <c r="V67" s="79" t="s">
        <v>541</v>
      </c>
      <c r="W67" s="82">
        <f t="shared" si="11"/>
        <v>4513</v>
      </c>
      <c r="X67" s="79"/>
      <c r="Y67" s="4"/>
      <c r="Z67" s="4"/>
      <c r="AA67" s="82">
        <v>11000</v>
      </c>
      <c r="AB67" s="82"/>
      <c r="AC67" s="82"/>
      <c r="AD67" s="23"/>
      <c r="AE67" s="7" t="s">
        <v>391</v>
      </c>
      <c r="AH67" s="23">
        <f>SUM('2021 Detail'!J64:U64)+SUM('2021 Detail'!AA64:AC64)</f>
        <v>20500</v>
      </c>
      <c r="AJ67" s="23">
        <f t="shared" si="12"/>
        <v>4000</v>
      </c>
      <c r="AL67" t="str">
        <f t="shared" si="14"/>
        <v>Up</v>
      </c>
      <c r="AQ67" s="23">
        <v>5500</v>
      </c>
    </row>
    <row r="68" spans="1:43" x14ac:dyDescent="0.2">
      <c r="A68" s="226" t="s">
        <v>63</v>
      </c>
      <c r="B68" s="9" t="s">
        <v>495</v>
      </c>
      <c r="C68" s="9" t="s">
        <v>495</v>
      </c>
      <c r="D68" s="9" t="s">
        <v>495</v>
      </c>
      <c r="E68" s="9"/>
      <c r="F68" s="9">
        <v>0</v>
      </c>
      <c r="G68" s="83">
        <v>9094</v>
      </c>
      <c r="H68" s="83">
        <f t="shared" si="13"/>
        <v>6360</v>
      </c>
      <c r="I68" s="133">
        <f t="shared" si="10"/>
        <v>0.69940000000000002</v>
      </c>
      <c r="J68" s="82">
        <v>390</v>
      </c>
      <c r="K68" s="82">
        <v>390</v>
      </c>
      <c r="L68" s="82">
        <v>558</v>
      </c>
      <c r="M68" s="82">
        <v>558</v>
      </c>
      <c r="N68" s="82">
        <v>558</v>
      </c>
      <c r="O68" s="82">
        <v>558</v>
      </c>
      <c r="P68" s="82">
        <v>558</v>
      </c>
      <c r="Q68" s="82">
        <v>558</v>
      </c>
      <c r="R68" s="82">
        <v>558</v>
      </c>
      <c r="S68" s="23">
        <v>558</v>
      </c>
      <c r="T68" s="23">
        <v>558</v>
      </c>
      <c r="U68" s="23">
        <v>558</v>
      </c>
      <c r="V68" s="79" t="s">
        <v>542</v>
      </c>
      <c r="W68" s="82">
        <f t="shared" si="11"/>
        <v>2734</v>
      </c>
      <c r="X68" s="79"/>
      <c r="Y68" s="4"/>
      <c r="Z68" s="4"/>
      <c r="AA68" s="82"/>
      <c r="AB68" s="82"/>
      <c r="AC68" s="82"/>
      <c r="AD68" s="23"/>
      <c r="AE68" s="7" t="s">
        <v>391</v>
      </c>
      <c r="AH68" s="23">
        <f>SUM('2021 Detail'!J65:U65)+SUM('2021 Detail'!AA65:AC65)</f>
        <v>6360</v>
      </c>
      <c r="AJ68" s="23">
        <f t="shared" si="12"/>
        <v>0</v>
      </c>
      <c r="AL68" t="str">
        <f t="shared" si="14"/>
        <v>Same</v>
      </c>
      <c r="AQ68" s="23">
        <v>2070</v>
      </c>
    </row>
    <row r="69" spans="1:43" x14ac:dyDescent="0.2">
      <c r="A69" s="226" t="s">
        <v>64</v>
      </c>
      <c r="B69" s="9" t="s">
        <v>495</v>
      </c>
      <c r="C69" s="9" t="s">
        <v>495</v>
      </c>
      <c r="D69" s="9">
        <v>0</v>
      </c>
      <c r="E69" s="9"/>
      <c r="F69" s="9">
        <v>0</v>
      </c>
      <c r="G69" s="83">
        <v>19836</v>
      </c>
      <c r="H69" s="83">
        <f t="shared" si="13"/>
        <v>17300</v>
      </c>
      <c r="I69" s="133">
        <f t="shared" si="10"/>
        <v>0.87219999999999998</v>
      </c>
      <c r="J69" s="82">
        <v>525</v>
      </c>
      <c r="K69" s="82">
        <v>525</v>
      </c>
      <c r="L69" s="82">
        <v>525</v>
      </c>
      <c r="M69" s="82">
        <v>1525</v>
      </c>
      <c r="N69" s="82">
        <v>2525</v>
      </c>
      <c r="O69" s="82">
        <v>525</v>
      </c>
      <c r="P69" s="82">
        <v>1525</v>
      </c>
      <c r="Q69" s="82">
        <v>2525</v>
      </c>
      <c r="R69" s="82">
        <v>2525</v>
      </c>
      <c r="S69" s="23">
        <v>525</v>
      </c>
      <c r="T69" s="23">
        <v>2525</v>
      </c>
      <c r="U69" s="23">
        <v>1525</v>
      </c>
      <c r="V69" s="79" t="s">
        <v>543</v>
      </c>
      <c r="W69" s="82">
        <f t="shared" si="11"/>
        <v>2536</v>
      </c>
      <c r="X69" s="79"/>
      <c r="Y69" s="4"/>
      <c r="Z69" s="4"/>
      <c r="AA69" s="82"/>
      <c r="AB69" s="82"/>
      <c r="AC69" s="82"/>
      <c r="AD69" s="23"/>
      <c r="AE69" s="7" t="s">
        <v>391</v>
      </c>
      <c r="AH69" s="23">
        <f>SUM('2021 Detail'!J66:U66)+SUM('2021 Detail'!AA66:AC66)</f>
        <v>19835</v>
      </c>
      <c r="AJ69" s="23">
        <f t="shared" si="12"/>
        <v>-2535</v>
      </c>
      <c r="AL69" t="str">
        <f t="shared" si="14"/>
        <v>Down</v>
      </c>
      <c r="AQ69" s="23">
        <v>2060</v>
      </c>
    </row>
    <row r="70" spans="1:43" x14ac:dyDescent="0.2">
      <c r="A70" s="226" t="s">
        <v>65</v>
      </c>
      <c r="B70" s="9" t="s">
        <v>495</v>
      </c>
      <c r="C70" s="9" t="s">
        <v>495</v>
      </c>
      <c r="D70" s="9" t="s">
        <v>495</v>
      </c>
      <c r="E70" s="9"/>
      <c r="F70" s="9" t="s">
        <v>495</v>
      </c>
      <c r="G70" s="83">
        <v>26899</v>
      </c>
      <c r="H70" s="83">
        <f t="shared" si="13"/>
        <v>20196</v>
      </c>
      <c r="I70" s="133">
        <f t="shared" si="10"/>
        <v>0.75080000000000002</v>
      </c>
      <c r="J70" s="82">
        <v>1683</v>
      </c>
      <c r="K70" s="82">
        <v>1683</v>
      </c>
      <c r="L70" s="82">
        <v>1683</v>
      </c>
      <c r="M70" s="82">
        <v>1683</v>
      </c>
      <c r="N70" s="82">
        <v>1683</v>
      </c>
      <c r="O70" s="82">
        <v>1683</v>
      </c>
      <c r="P70" s="82">
        <v>1683</v>
      </c>
      <c r="Q70" s="82">
        <v>1683</v>
      </c>
      <c r="R70" s="82">
        <v>1683</v>
      </c>
      <c r="S70" s="23">
        <v>1683</v>
      </c>
      <c r="T70" s="23">
        <v>1683</v>
      </c>
      <c r="U70" s="23">
        <v>1683</v>
      </c>
      <c r="V70" s="79" t="s">
        <v>544</v>
      </c>
      <c r="W70" s="82">
        <f t="shared" si="11"/>
        <v>6703</v>
      </c>
      <c r="X70" s="79"/>
      <c r="Y70" s="4"/>
      <c r="Z70" s="4"/>
      <c r="AA70" s="82"/>
      <c r="AB70" s="82"/>
      <c r="AC70" s="82"/>
      <c r="AD70" s="23"/>
      <c r="AE70" s="7" t="s">
        <v>392</v>
      </c>
      <c r="AH70" s="23">
        <f>SUM('2021 Detail'!J67:U67)+SUM('2021 Detail'!AA67:AC67)</f>
        <v>20757</v>
      </c>
      <c r="AJ70" s="23">
        <f t="shared" si="12"/>
        <v>-561</v>
      </c>
      <c r="AL70" t="str">
        <f t="shared" si="14"/>
        <v>Down</v>
      </c>
      <c r="AQ70" s="23">
        <v>1683</v>
      </c>
    </row>
    <row r="71" spans="1:43" x14ac:dyDescent="0.2">
      <c r="A71" s="226" t="s">
        <v>66</v>
      </c>
      <c r="B71" s="9" t="s">
        <v>495</v>
      </c>
      <c r="C71" s="9" t="s">
        <v>495</v>
      </c>
      <c r="D71" s="9" t="s">
        <v>495</v>
      </c>
      <c r="E71" s="9"/>
      <c r="F71" s="9" t="s">
        <v>495</v>
      </c>
      <c r="G71" s="83">
        <v>8602</v>
      </c>
      <c r="H71" s="83">
        <f t="shared" si="13"/>
        <v>8602</v>
      </c>
      <c r="I71" s="133">
        <f t="shared" si="10"/>
        <v>1</v>
      </c>
      <c r="J71" s="82">
        <v>500</v>
      </c>
      <c r="K71" s="82">
        <v>736.6</v>
      </c>
      <c r="L71" s="82">
        <v>736.54</v>
      </c>
      <c r="M71" s="82">
        <v>736.54</v>
      </c>
      <c r="N71" s="82">
        <v>736.54</v>
      </c>
      <c r="O71" s="82">
        <v>736.54</v>
      </c>
      <c r="P71" s="82">
        <v>736.54</v>
      </c>
      <c r="Q71" s="82">
        <v>736.54</v>
      </c>
      <c r="R71" s="82">
        <v>736.54</v>
      </c>
      <c r="S71" s="23">
        <v>736.54</v>
      </c>
      <c r="T71" s="23">
        <v>736.54</v>
      </c>
      <c r="U71" s="23">
        <v>736.54</v>
      </c>
      <c r="V71" s="79" t="s">
        <v>545</v>
      </c>
      <c r="W71" s="82">
        <f t="shared" si="11"/>
        <v>0</v>
      </c>
      <c r="X71" s="79"/>
      <c r="Y71" s="4"/>
      <c r="Z71" s="4"/>
      <c r="AA71" s="82"/>
      <c r="AB71" s="82"/>
      <c r="AC71" s="82"/>
      <c r="AD71" s="23"/>
      <c r="AE71" s="7" t="s">
        <v>392</v>
      </c>
      <c r="AH71" s="23">
        <f>SUM('2021 Detail'!J68:U68)+SUM('2021 Detail'!AA68:AC68)</f>
        <v>8602</v>
      </c>
      <c r="AJ71" s="23">
        <f t="shared" si="12"/>
        <v>0</v>
      </c>
      <c r="AL71" t="str">
        <f t="shared" si="14"/>
        <v>Same</v>
      </c>
      <c r="AQ71" s="23">
        <v>500</v>
      </c>
    </row>
    <row r="72" spans="1:43" x14ac:dyDescent="0.2">
      <c r="A72" s="226" t="s">
        <v>67</v>
      </c>
      <c r="B72" s="9" t="s">
        <v>495</v>
      </c>
      <c r="C72" s="9" t="s">
        <v>495</v>
      </c>
      <c r="D72" s="9" t="s">
        <v>495</v>
      </c>
      <c r="E72" s="9"/>
      <c r="F72" s="9" t="s">
        <v>495</v>
      </c>
      <c r="G72" s="83">
        <v>4369</v>
      </c>
      <c r="H72" s="83">
        <f t="shared" si="13"/>
        <v>4369</v>
      </c>
      <c r="I72" s="133">
        <f t="shared" si="10"/>
        <v>1</v>
      </c>
      <c r="J72" s="82">
        <v>364.12</v>
      </c>
      <c r="K72" s="82">
        <v>364.08</v>
      </c>
      <c r="L72" s="82">
        <v>364.08</v>
      </c>
      <c r="M72" s="82">
        <v>364.08</v>
      </c>
      <c r="N72" s="82">
        <v>364.08</v>
      </c>
      <c r="O72" s="82">
        <v>364.08</v>
      </c>
      <c r="P72" s="82">
        <v>364.08</v>
      </c>
      <c r="Q72" s="82">
        <v>364.08</v>
      </c>
      <c r="R72" s="82">
        <v>364.08</v>
      </c>
      <c r="S72" s="23">
        <v>364.08</v>
      </c>
      <c r="T72" s="23">
        <v>364.08</v>
      </c>
      <c r="U72" s="23">
        <v>364.08</v>
      </c>
      <c r="V72" s="79" t="s">
        <v>546</v>
      </c>
      <c r="W72" s="82">
        <f t="shared" si="11"/>
        <v>0</v>
      </c>
      <c r="X72" s="79"/>
      <c r="Y72" s="4"/>
      <c r="Z72" s="4"/>
      <c r="AA72" s="82"/>
      <c r="AB72" s="82"/>
      <c r="AC72" s="82"/>
      <c r="AD72" s="23"/>
      <c r="AE72" s="7" t="s">
        <v>392</v>
      </c>
      <c r="AH72" s="23">
        <f>SUM('2021 Detail'!J69:U69)+SUM('2021 Detail'!AA69:AC69)</f>
        <v>4369</v>
      </c>
      <c r="AJ72" s="23">
        <f t="shared" si="12"/>
        <v>0</v>
      </c>
      <c r="AL72" t="str">
        <f t="shared" si="14"/>
        <v>Same</v>
      </c>
      <c r="AQ72" s="23">
        <v>364.04</v>
      </c>
    </row>
    <row r="73" spans="1:43" x14ac:dyDescent="0.2">
      <c r="A73" s="226" t="s">
        <v>68</v>
      </c>
      <c r="B73" s="9" t="s">
        <v>495</v>
      </c>
      <c r="C73" s="9" t="s">
        <v>495</v>
      </c>
      <c r="D73" s="9" t="s">
        <v>495</v>
      </c>
      <c r="E73" s="9"/>
      <c r="F73" s="9" t="s">
        <v>495</v>
      </c>
      <c r="G73" s="83">
        <v>9731</v>
      </c>
      <c r="H73" s="83">
        <f t="shared" si="13"/>
        <v>9731.0000000000018</v>
      </c>
      <c r="I73" s="133">
        <f t="shared" si="10"/>
        <v>1</v>
      </c>
      <c r="J73" s="82">
        <v>973.1</v>
      </c>
      <c r="K73" s="82">
        <v>973.1</v>
      </c>
      <c r="L73" s="82">
        <v>973.1</v>
      </c>
      <c r="M73" s="82">
        <v>973.1</v>
      </c>
      <c r="N73" s="82">
        <v>973.1</v>
      </c>
      <c r="O73" s="82">
        <v>973.1</v>
      </c>
      <c r="P73" s="82">
        <v>973.1</v>
      </c>
      <c r="Q73" s="82">
        <v>973.1</v>
      </c>
      <c r="R73" s="82">
        <v>973.1</v>
      </c>
      <c r="S73" s="23">
        <v>973.1</v>
      </c>
      <c r="T73" s="23"/>
      <c r="U73" s="23"/>
      <c r="V73" s="79" t="s">
        <v>547</v>
      </c>
      <c r="W73" s="82">
        <f t="shared" si="11"/>
        <v>0</v>
      </c>
      <c r="X73" s="79"/>
      <c r="Y73" s="4"/>
      <c r="Z73" s="4"/>
      <c r="AA73" s="82"/>
      <c r="AB73" s="82"/>
      <c r="AC73" s="82"/>
      <c r="AD73" s="23"/>
      <c r="AE73" s="7" t="s">
        <v>387</v>
      </c>
      <c r="AH73" s="23">
        <f>SUM('2021 Detail'!J70:U70)+SUM('2021 Detail'!AA70:AC70)</f>
        <v>9731.0000000000018</v>
      </c>
      <c r="AJ73" s="23">
        <f t="shared" si="12"/>
        <v>0</v>
      </c>
      <c r="AL73" t="str">
        <f t="shared" si="14"/>
        <v>Same</v>
      </c>
      <c r="AQ73" s="23">
        <v>0</v>
      </c>
    </row>
    <row r="74" spans="1:43" x14ac:dyDescent="0.2">
      <c r="A74" s="226" t="s">
        <v>69</v>
      </c>
      <c r="B74" s="9" t="s">
        <v>495</v>
      </c>
      <c r="C74" s="9" t="s">
        <v>495</v>
      </c>
      <c r="D74" s="9" t="s">
        <v>495</v>
      </c>
      <c r="E74" s="9"/>
      <c r="F74" s="9">
        <v>0</v>
      </c>
      <c r="G74" s="83">
        <v>2684</v>
      </c>
      <c r="H74" s="83">
        <f t="shared" si="13"/>
        <v>2684</v>
      </c>
      <c r="I74" s="133">
        <f t="shared" si="10"/>
        <v>1</v>
      </c>
      <c r="J74" s="82">
        <v>0</v>
      </c>
      <c r="K74" s="82"/>
      <c r="L74" s="82"/>
      <c r="M74" s="82"/>
      <c r="N74" s="82">
        <v>500</v>
      </c>
      <c r="O74" s="82"/>
      <c r="P74" s="82"/>
      <c r="Q74" s="82"/>
      <c r="R74" s="82"/>
      <c r="S74" s="23"/>
      <c r="T74" s="23">
        <v>2184</v>
      </c>
      <c r="U74" s="23"/>
      <c r="V74" s="79" t="s">
        <v>548</v>
      </c>
      <c r="W74" s="82">
        <f t="shared" si="11"/>
        <v>0</v>
      </c>
      <c r="X74" s="79"/>
      <c r="Y74" s="4"/>
      <c r="Z74" s="4"/>
      <c r="AA74" s="82"/>
      <c r="AB74" s="82"/>
      <c r="AC74" s="82"/>
      <c r="AD74" s="23"/>
      <c r="AE74" s="7" t="s">
        <v>387</v>
      </c>
      <c r="AH74" s="23">
        <f>SUM('2021 Detail'!J71:U71)+SUM('2021 Detail'!AA71:AC71)</f>
        <v>250</v>
      </c>
      <c r="AJ74" s="23">
        <f t="shared" si="12"/>
        <v>2434</v>
      </c>
      <c r="AL74" t="str">
        <f t="shared" si="14"/>
        <v>Up</v>
      </c>
      <c r="AQ74" s="23">
        <v>250</v>
      </c>
    </row>
    <row r="75" spans="1:43" x14ac:dyDescent="0.2">
      <c r="A75" s="226" t="s">
        <v>70</v>
      </c>
      <c r="B75" s="9" t="s">
        <v>495</v>
      </c>
      <c r="C75" s="9" t="s">
        <v>495</v>
      </c>
      <c r="D75" s="9" t="s">
        <v>495</v>
      </c>
      <c r="E75" s="9"/>
      <c r="F75" s="9">
        <v>0</v>
      </c>
      <c r="G75" s="83">
        <v>2684</v>
      </c>
      <c r="H75" s="83">
        <f t="shared" si="13"/>
        <v>2684</v>
      </c>
      <c r="I75" s="133">
        <f t="shared" si="10"/>
        <v>1</v>
      </c>
      <c r="J75" s="82">
        <v>0</v>
      </c>
      <c r="K75" s="82"/>
      <c r="L75" s="82"/>
      <c r="M75" s="82"/>
      <c r="N75" s="82"/>
      <c r="O75" s="82">
        <v>2684</v>
      </c>
      <c r="P75" s="82"/>
      <c r="Q75" s="82"/>
      <c r="R75" s="82"/>
      <c r="S75" s="23"/>
      <c r="T75" s="23"/>
      <c r="U75" s="23"/>
      <c r="V75" s="79" t="s">
        <v>549</v>
      </c>
      <c r="W75" s="82">
        <f t="shared" si="11"/>
        <v>0</v>
      </c>
      <c r="X75" s="79"/>
      <c r="Y75" s="4"/>
      <c r="Z75" s="4"/>
      <c r="AA75" s="82"/>
      <c r="AB75" s="82"/>
      <c r="AC75" s="82"/>
      <c r="AD75" s="23"/>
      <c r="AE75" s="7" t="s">
        <v>387</v>
      </c>
      <c r="AH75" s="23">
        <f>SUM('2021 Detail'!J72:U72)+SUM('2021 Detail'!AA72:AC72)</f>
        <v>2684</v>
      </c>
      <c r="AJ75" s="23">
        <f t="shared" si="12"/>
        <v>0</v>
      </c>
      <c r="AL75" t="str">
        <f t="shared" si="14"/>
        <v>Same</v>
      </c>
    </row>
    <row r="76" spans="1:43" x14ac:dyDescent="0.2">
      <c r="A76" s="226" t="s">
        <v>71</v>
      </c>
      <c r="B76" s="9" t="s">
        <v>495</v>
      </c>
      <c r="C76" s="9" t="s">
        <v>495</v>
      </c>
      <c r="D76" s="9" t="s">
        <v>495</v>
      </c>
      <c r="E76" s="9"/>
      <c r="F76" s="9">
        <v>0</v>
      </c>
      <c r="G76" s="83">
        <v>63265</v>
      </c>
      <c r="H76" s="83">
        <f t="shared" si="13"/>
        <v>63264.999999999993</v>
      </c>
      <c r="I76" s="133">
        <f t="shared" si="10"/>
        <v>1</v>
      </c>
      <c r="J76" s="82">
        <v>5272.08</v>
      </c>
      <c r="K76" s="82">
        <v>5272.1</v>
      </c>
      <c r="L76" s="82">
        <v>5272.1</v>
      </c>
      <c r="M76" s="82">
        <v>5272.1</v>
      </c>
      <c r="N76" s="82">
        <v>5272.1</v>
      </c>
      <c r="O76" s="82">
        <v>5272.1</v>
      </c>
      <c r="P76" s="82">
        <v>5272.1</v>
      </c>
      <c r="Q76" s="82">
        <v>5272.1</v>
      </c>
      <c r="R76" s="82">
        <v>5272.1</v>
      </c>
      <c r="S76" s="23">
        <v>5272.1</v>
      </c>
      <c r="T76" s="23">
        <v>5272.1</v>
      </c>
      <c r="U76" s="23">
        <v>5271.92</v>
      </c>
      <c r="V76" s="79" t="s">
        <v>550</v>
      </c>
      <c r="W76" s="82">
        <f t="shared" si="11"/>
        <v>0</v>
      </c>
      <c r="X76" s="79"/>
      <c r="Y76" s="4"/>
      <c r="Z76" s="4"/>
      <c r="AA76" s="82"/>
      <c r="AB76" s="82"/>
      <c r="AC76" s="82"/>
      <c r="AD76" s="23"/>
      <c r="AE76" s="7" t="s">
        <v>393</v>
      </c>
      <c r="AH76" s="23">
        <f>SUM('2021 Detail'!J73:U73)+SUM('2021 Detail'!AA73:AC73)</f>
        <v>63264.960000000006</v>
      </c>
      <c r="AJ76" s="23">
        <f t="shared" si="12"/>
        <v>3.99999999863212E-2</v>
      </c>
      <c r="AL76" t="str">
        <f t="shared" si="14"/>
        <v>Up</v>
      </c>
      <c r="AQ76" s="23">
        <v>5272.08</v>
      </c>
    </row>
    <row r="77" spans="1:43" x14ac:dyDescent="0.2">
      <c r="A77" s="226" t="s">
        <v>72</v>
      </c>
      <c r="B77" s="9" t="s">
        <v>495</v>
      </c>
      <c r="C77" s="9" t="s">
        <v>495</v>
      </c>
      <c r="D77" s="9">
        <v>0</v>
      </c>
      <c r="E77" s="9"/>
      <c r="F77" s="9" t="s">
        <v>495</v>
      </c>
      <c r="G77" s="83">
        <v>4346</v>
      </c>
      <c r="H77" s="83">
        <f t="shared" si="13"/>
        <v>4346</v>
      </c>
      <c r="I77" s="133">
        <f t="shared" si="10"/>
        <v>1</v>
      </c>
      <c r="J77" s="82">
        <v>363.92</v>
      </c>
      <c r="K77" s="82">
        <v>362.08</v>
      </c>
      <c r="L77" s="82">
        <v>362</v>
      </c>
      <c r="M77" s="82">
        <v>362</v>
      </c>
      <c r="N77" s="82">
        <v>362</v>
      </c>
      <c r="O77" s="82">
        <v>362</v>
      </c>
      <c r="P77" s="82">
        <v>362</v>
      </c>
      <c r="Q77" s="82">
        <v>362</v>
      </c>
      <c r="R77" s="82">
        <v>362</v>
      </c>
      <c r="S77" s="23">
        <v>362</v>
      </c>
      <c r="T77" s="23">
        <v>362</v>
      </c>
      <c r="U77" s="23">
        <v>362</v>
      </c>
      <c r="V77" s="79" t="s">
        <v>551</v>
      </c>
      <c r="W77" s="82">
        <f t="shared" si="11"/>
        <v>0</v>
      </c>
      <c r="X77" s="79"/>
      <c r="Y77" s="4"/>
      <c r="Z77" s="4"/>
      <c r="AA77" s="82"/>
      <c r="AB77" s="82"/>
      <c r="AC77" s="82"/>
      <c r="AD77" s="23"/>
      <c r="AE77" s="7" t="s">
        <v>393</v>
      </c>
      <c r="AH77" s="23">
        <f>SUM('2021 Detail'!J74:U74)+SUM('2021 Detail'!AA74:AC74)</f>
        <v>4346</v>
      </c>
      <c r="AJ77" s="23">
        <f t="shared" si="12"/>
        <v>0</v>
      </c>
      <c r="AL77" t="str">
        <f t="shared" si="14"/>
        <v>Same</v>
      </c>
      <c r="AQ77" s="23">
        <v>362</v>
      </c>
    </row>
    <row r="78" spans="1:43" x14ac:dyDescent="0.2">
      <c r="A78" s="226" t="s">
        <v>73</v>
      </c>
      <c r="B78" s="9" t="s">
        <v>495</v>
      </c>
      <c r="C78" s="9" t="s">
        <v>495</v>
      </c>
      <c r="D78" s="9" t="s">
        <v>495</v>
      </c>
      <c r="E78" s="9"/>
      <c r="F78" s="9" t="s">
        <v>495</v>
      </c>
      <c r="G78" s="83">
        <v>12290</v>
      </c>
      <c r="H78" s="83">
        <f t="shared" si="13"/>
        <v>12290</v>
      </c>
      <c r="I78" s="133">
        <f t="shared" si="10"/>
        <v>1</v>
      </c>
      <c r="J78" s="82">
        <v>1024.24</v>
      </c>
      <c r="K78" s="82">
        <v>1024.1600000000001</v>
      </c>
      <c r="L78" s="82">
        <v>1024.1600000000001</v>
      </c>
      <c r="M78" s="82">
        <v>1024.1600000000001</v>
      </c>
      <c r="N78" s="82">
        <v>1024.1600000000001</v>
      </c>
      <c r="O78" s="82">
        <v>1024.1600000000001</v>
      </c>
      <c r="P78" s="82">
        <v>1024.1600000000001</v>
      </c>
      <c r="Q78" s="82">
        <v>1024.1600000000001</v>
      </c>
      <c r="R78" s="82">
        <v>1024.1600000000001</v>
      </c>
      <c r="S78" s="23">
        <v>1024.1600000000001</v>
      </c>
      <c r="T78" s="23">
        <v>1024.1600000000001</v>
      </c>
      <c r="U78" s="23">
        <v>1024.1600000000001</v>
      </c>
      <c r="V78" s="79" t="s">
        <v>552</v>
      </c>
      <c r="W78" s="82">
        <f t="shared" si="11"/>
        <v>0</v>
      </c>
      <c r="X78" s="79"/>
      <c r="Y78" s="4"/>
      <c r="Z78" s="4"/>
      <c r="AA78" s="82"/>
      <c r="AB78" s="82"/>
      <c r="AC78" s="82"/>
      <c r="AD78" s="23"/>
      <c r="AE78" s="7" t="s">
        <v>392</v>
      </c>
      <c r="AH78" s="23">
        <f>SUM('2021 Detail'!J75:U75)+SUM('2021 Detail'!AA75:AC75)</f>
        <v>12289.999999999996</v>
      </c>
      <c r="AJ78" s="23">
        <f t="shared" si="12"/>
        <v>0</v>
      </c>
      <c r="AL78" t="str">
        <f t="shared" si="14"/>
        <v>Same</v>
      </c>
      <c r="AQ78" s="23">
        <v>1024.06</v>
      </c>
    </row>
    <row r="79" spans="1:43" x14ac:dyDescent="0.2">
      <c r="A79" s="226" t="s">
        <v>74</v>
      </c>
      <c r="B79" s="9" t="s">
        <v>495</v>
      </c>
      <c r="C79" s="9" t="s">
        <v>495</v>
      </c>
      <c r="D79" s="9" t="s">
        <v>495</v>
      </c>
      <c r="E79" s="9"/>
      <c r="F79" s="9">
        <v>0</v>
      </c>
      <c r="G79" s="83">
        <v>16112</v>
      </c>
      <c r="H79" s="83">
        <f t="shared" si="13"/>
        <v>16112</v>
      </c>
      <c r="I79" s="133">
        <f t="shared" si="10"/>
        <v>1</v>
      </c>
      <c r="J79" s="82">
        <v>1342</v>
      </c>
      <c r="K79" s="82">
        <v>1342</v>
      </c>
      <c r="L79" s="82">
        <v>1342</v>
      </c>
      <c r="M79" s="82">
        <v>1342</v>
      </c>
      <c r="N79" s="82">
        <v>1342</v>
      </c>
      <c r="O79" s="82">
        <v>1342</v>
      </c>
      <c r="P79" s="82">
        <v>1342</v>
      </c>
      <c r="Q79" s="82">
        <v>1342</v>
      </c>
      <c r="R79" s="82">
        <v>1342</v>
      </c>
      <c r="S79" s="23">
        <v>1342</v>
      </c>
      <c r="T79" s="23">
        <v>1342</v>
      </c>
      <c r="U79" s="23">
        <v>1350</v>
      </c>
      <c r="V79" s="79" t="s">
        <v>553</v>
      </c>
      <c r="W79" s="82">
        <f t="shared" si="11"/>
        <v>0</v>
      </c>
      <c r="X79" s="79"/>
      <c r="Y79" s="4"/>
      <c r="Z79" s="4"/>
      <c r="AA79" s="82"/>
      <c r="AB79" s="82"/>
      <c r="AC79" s="82"/>
      <c r="AD79" s="23"/>
      <c r="AE79" s="7" t="s">
        <v>392</v>
      </c>
      <c r="AH79" s="23">
        <f>SUM('2021 Detail'!J76:U76)+SUM('2021 Detail'!AA76:AC76)</f>
        <v>8052</v>
      </c>
      <c r="AJ79" s="23">
        <f t="shared" si="12"/>
        <v>8060</v>
      </c>
      <c r="AL79" t="str">
        <f t="shared" si="14"/>
        <v>Up</v>
      </c>
    </row>
    <row r="80" spans="1:43" x14ac:dyDescent="0.2">
      <c r="A80" s="226" t="s">
        <v>75</v>
      </c>
      <c r="B80" s="9" t="s">
        <v>495</v>
      </c>
      <c r="C80" s="9" t="s">
        <v>495</v>
      </c>
      <c r="D80" s="9">
        <v>0</v>
      </c>
      <c r="E80" s="9"/>
      <c r="F80" s="9">
        <v>0</v>
      </c>
      <c r="G80" s="83">
        <v>11832</v>
      </c>
      <c r="H80" s="83">
        <f t="shared" si="13"/>
        <v>3994</v>
      </c>
      <c r="I80" s="133">
        <f t="shared" si="10"/>
        <v>0.33760000000000001</v>
      </c>
      <c r="J80" s="82">
        <v>0</v>
      </c>
      <c r="K80" s="82">
        <v>1000</v>
      </c>
      <c r="L80" s="82"/>
      <c r="M80" s="82"/>
      <c r="N80" s="82"/>
      <c r="O80" s="82"/>
      <c r="P80" s="82">
        <v>1500</v>
      </c>
      <c r="Q80" s="82"/>
      <c r="R80" s="82">
        <v>1494</v>
      </c>
      <c r="S80" s="23"/>
      <c r="T80" s="23"/>
      <c r="U80" s="23"/>
      <c r="V80" s="79" t="s">
        <v>554</v>
      </c>
      <c r="W80" s="82">
        <f t="shared" si="11"/>
        <v>7838</v>
      </c>
      <c r="X80" s="79"/>
      <c r="Y80" s="4"/>
      <c r="Z80" s="4"/>
      <c r="AA80" s="82"/>
      <c r="AB80" s="82"/>
      <c r="AC80" s="82"/>
      <c r="AD80" s="23"/>
      <c r="AE80" s="7" t="s">
        <v>390</v>
      </c>
      <c r="AH80" s="23">
        <f>SUM('2021 Detail'!J77:U77)+SUM('2021 Detail'!AA77:AC77)</f>
        <v>5312</v>
      </c>
      <c r="AJ80" s="23">
        <f t="shared" si="12"/>
        <v>-1318</v>
      </c>
      <c r="AL80" t="str">
        <f t="shared" si="14"/>
        <v>Down</v>
      </c>
      <c r="AQ80" s="23">
        <v>3000</v>
      </c>
    </row>
    <row r="81" spans="1:43" x14ac:dyDescent="0.2">
      <c r="A81" s="226" t="s">
        <v>76</v>
      </c>
      <c r="B81" s="9" t="s">
        <v>495</v>
      </c>
      <c r="C81" s="9" t="s">
        <v>495</v>
      </c>
      <c r="D81" s="9">
        <v>0</v>
      </c>
      <c r="E81" s="9"/>
      <c r="F81" s="9">
        <v>0</v>
      </c>
      <c r="G81" s="83">
        <v>11851</v>
      </c>
      <c r="H81" s="83">
        <f t="shared" si="13"/>
        <v>2000</v>
      </c>
      <c r="I81" s="133">
        <f t="shared" si="10"/>
        <v>0.16880000000000001</v>
      </c>
      <c r="J81" s="82"/>
      <c r="K81" s="82"/>
      <c r="L81" s="82">
        <v>2000</v>
      </c>
      <c r="N81" s="82"/>
      <c r="O81" s="82"/>
      <c r="P81" s="82"/>
      <c r="Q81" s="82"/>
      <c r="R81" s="82"/>
      <c r="S81" s="23"/>
      <c r="T81" s="23"/>
      <c r="U81" s="23"/>
      <c r="V81" s="79" t="s">
        <v>555</v>
      </c>
      <c r="W81" s="82">
        <f t="shared" si="11"/>
        <v>9851</v>
      </c>
      <c r="X81" s="79"/>
      <c r="Y81" s="4"/>
      <c r="Z81" s="4"/>
      <c r="AA81" s="82"/>
      <c r="AB81" s="82"/>
      <c r="AC81" s="82"/>
      <c r="AD81" s="23"/>
      <c r="AE81" s="7" t="s">
        <v>391</v>
      </c>
      <c r="AH81" s="23">
        <f>SUM('2021 Detail'!J78:U78)+SUM('2021 Detail'!AA78:AC78)</f>
        <v>1000</v>
      </c>
      <c r="AJ81" s="23">
        <f t="shared" si="12"/>
        <v>1000</v>
      </c>
      <c r="AL81" t="str">
        <f t="shared" si="14"/>
        <v>Up</v>
      </c>
    </row>
    <row r="82" spans="1:43" x14ac:dyDescent="0.2">
      <c r="A82" s="226" t="s">
        <v>77</v>
      </c>
      <c r="B82" s="9" t="s">
        <v>495</v>
      </c>
      <c r="C82" s="9">
        <v>0</v>
      </c>
      <c r="D82" s="9">
        <v>0</v>
      </c>
      <c r="E82" s="9"/>
      <c r="F82" s="9">
        <v>0</v>
      </c>
      <c r="G82" s="83">
        <v>17785</v>
      </c>
      <c r="H82" s="83">
        <f t="shared" si="13"/>
        <v>17784.68</v>
      </c>
      <c r="I82" s="133">
        <f t="shared" si="10"/>
        <v>1</v>
      </c>
      <c r="J82" s="82"/>
      <c r="K82" s="82"/>
      <c r="L82" s="82"/>
      <c r="M82" s="82"/>
      <c r="N82" s="82"/>
      <c r="O82" s="82">
        <v>5000</v>
      </c>
      <c r="P82" s="82"/>
      <c r="Q82" s="82"/>
      <c r="R82" s="82"/>
      <c r="S82" s="23"/>
      <c r="T82" s="23"/>
      <c r="U82" s="23">
        <v>12784.68</v>
      </c>
      <c r="V82" s="79" t="s">
        <v>556</v>
      </c>
      <c r="W82" s="82">
        <f t="shared" si="11"/>
        <v>0.31999999999970896</v>
      </c>
      <c r="X82" s="79"/>
      <c r="Y82" s="4"/>
      <c r="Z82" s="4"/>
      <c r="AA82" s="82"/>
      <c r="AB82" s="82"/>
      <c r="AC82" s="82"/>
      <c r="AD82" s="23"/>
      <c r="AE82" s="7" t="s">
        <v>387</v>
      </c>
      <c r="AH82" s="23">
        <f>SUM('2021 Detail'!J79:U79)+SUM('2021 Detail'!AA79:AC79)</f>
        <v>17785</v>
      </c>
      <c r="AJ82" s="23">
        <f t="shared" si="12"/>
        <v>-0.31999999999970896</v>
      </c>
      <c r="AL82" t="str">
        <f t="shared" si="14"/>
        <v>Down</v>
      </c>
      <c r="AQ82" s="23">
        <v>8893</v>
      </c>
    </row>
    <row r="83" spans="1:43" x14ac:dyDescent="0.2">
      <c r="G83" s="83"/>
      <c r="H83" s="83"/>
      <c r="I83" s="133"/>
      <c r="J83" s="82"/>
      <c r="K83" s="82"/>
      <c r="L83" s="82"/>
      <c r="X83" s="79"/>
      <c r="Y83" s="4"/>
      <c r="Z83" s="4"/>
      <c r="AH83" s="23"/>
      <c r="AJ83" s="82"/>
    </row>
    <row r="84" spans="1:43" x14ac:dyDescent="0.2">
      <c r="A84" s="226" t="s">
        <v>1142</v>
      </c>
      <c r="G84" s="83">
        <f>SUM(G52:G83)</f>
        <v>524093</v>
      </c>
      <c r="H84" s="83">
        <f>SUM(H52:H83)</f>
        <v>415084.4</v>
      </c>
      <c r="I84" s="133">
        <f t="shared" ref="I84:I85" si="15">ROUND((H84/G84),4)</f>
        <v>0.79200000000000004</v>
      </c>
      <c r="J84" s="83">
        <f>SUM(J52:J83)</f>
        <v>23245.77</v>
      </c>
      <c r="K84" s="83">
        <f t="shared" ref="K84:W84" si="16">SUM(K52:K83)</f>
        <v>27854.429999999997</v>
      </c>
      <c r="L84" s="83">
        <f t="shared" si="16"/>
        <v>36545.29</v>
      </c>
      <c r="M84" s="83">
        <f t="shared" si="16"/>
        <v>26545.289999999997</v>
      </c>
      <c r="N84" s="83">
        <f t="shared" si="16"/>
        <v>28545.289999999997</v>
      </c>
      <c r="O84" s="83">
        <f t="shared" si="16"/>
        <v>32582.289999999997</v>
      </c>
      <c r="P84" s="83">
        <f t="shared" si="16"/>
        <v>32669.289999999997</v>
      </c>
      <c r="Q84" s="83">
        <f t="shared" si="16"/>
        <v>34875.29</v>
      </c>
      <c r="R84" s="83">
        <f t="shared" si="16"/>
        <v>30548.91</v>
      </c>
      <c r="S84" s="4">
        <f t="shared" si="16"/>
        <v>52904.670000000006</v>
      </c>
      <c r="T84" s="4">
        <f t="shared" si="16"/>
        <v>27350.19</v>
      </c>
      <c r="U84" s="4">
        <f t="shared" si="16"/>
        <v>50417.69000000001</v>
      </c>
      <c r="V84" s="77"/>
      <c r="W84" s="82">
        <f t="shared" si="16"/>
        <v>109008.6</v>
      </c>
      <c r="X84" s="79"/>
      <c r="Y84" s="4"/>
      <c r="Z84" s="4"/>
      <c r="AA84" s="83">
        <f>SUM(AA52:AA83)</f>
        <v>11000</v>
      </c>
      <c r="AB84" s="83">
        <f t="shared" ref="AB84:AC84" si="17">SUM(AB52:AB83)</f>
        <v>0</v>
      </c>
      <c r="AC84" s="83">
        <f t="shared" si="17"/>
        <v>0</v>
      </c>
      <c r="AD84" s="4"/>
      <c r="AH84" s="23">
        <f>SUM(AH52:AH83)</f>
        <v>394993.43000000005</v>
      </c>
      <c r="AJ84" s="23">
        <f t="shared" si="12"/>
        <v>20090.969999999972</v>
      </c>
      <c r="AM84" s="11">
        <f>SUM(J84:R84)+SUM(S85:U85)+SUM('2020 detail'!AA81:AC81)</f>
        <v>390579.36</v>
      </c>
      <c r="AN84" s="24">
        <f>ROUND((AM84/G84),4)</f>
        <v>0.74519999999999997</v>
      </c>
      <c r="AO84" s="24">
        <f>ROUND((SUM(J85:U85)/G85),4)</f>
        <v>0.74939999999999996</v>
      </c>
      <c r="AQ84" s="23">
        <f>SUM(AQ52:AQ83)</f>
        <v>52298.43</v>
      </c>
    </row>
    <row r="85" spans="1:43" x14ac:dyDescent="0.2">
      <c r="A85" s="253" t="s">
        <v>1056</v>
      </c>
      <c r="G85" s="206">
        <f>'2021 Detail'!G81</f>
        <v>524092</v>
      </c>
      <c r="H85" s="206">
        <f>SUM(J85:U85)+SUM(AA85:AC85)</f>
        <v>394993.43</v>
      </c>
      <c r="I85" s="207">
        <f t="shared" si="15"/>
        <v>0.75370000000000004</v>
      </c>
      <c r="J85" s="206">
        <f>'2021 Detail'!J81</f>
        <v>22836.629999999997</v>
      </c>
      <c r="K85" s="206">
        <f>'2021 Detail'!K81</f>
        <v>17090.189999999999</v>
      </c>
      <c r="L85" s="206">
        <f>'2021 Detail'!L81</f>
        <v>29166.7</v>
      </c>
      <c r="M85" s="206">
        <f>'2021 Detail'!M81</f>
        <v>34817.589999999997</v>
      </c>
      <c r="N85" s="206">
        <f>'2021 Detail'!N81</f>
        <v>35824.589999999997</v>
      </c>
      <c r="O85" s="206">
        <f>'2021 Detail'!O81</f>
        <v>33720.589999999997</v>
      </c>
      <c r="P85" s="206">
        <f>'2021 Detail'!P81</f>
        <v>30735.529999999995</v>
      </c>
      <c r="Q85" s="206">
        <f>'2021 Detail'!Q81</f>
        <v>39720.589999999997</v>
      </c>
      <c r="R85" s="206">
        <f>'2021 Detail'!R81</f>
        <v>31650.67</v>
      </c>
      <c r="S85" s="206">
        <f>'2021 Detail'!S81</f>
        <v>29321.59</v>
      </c>
      <c r="T85" s="206">
        <f>'2021 Detail'!T81</f>
        <v>35547.49</v>
      </c>
      <c r="U85" s="206">
        <f>'2021 Detail'!U81</f>
        <v>52298.43</v>
      </c>
      <c r="V85" s="206"/>
      <c r="W85" s="206"/>
      <c r="X85" s="206"/>
      <c r="Y85" s="4"/>
      <c r="Z85" s="4"/>
      <c r="AA85" s="206">
        <f>'2021 Detail'!AA81</f>
        <v>1950.84</v>
      </c>
      <c r="AB85" s="206">
        <f>'2021 Detail'!AB81</f>
        <v>312</v>
      </c>
      <c r="AC85" s="206">
        <f>'2021 Detail'!AC81</f>
        <v>0</v>
      </c>
      <c r="AJ85" s="23"/>
    </row>
    <row r="86" spans="1:43" x14ac:dyDescent="0.2">
      <c r="X86" s="79"/>
      <c r="Y86" s="4"/>
      <c r="Z86" s="4"/>
      <c r="AJ86" s="23"/>
    </row>
    <row r="87" spans="1:43" x14ac:dyDescent="0.2">
      <c r="A87" s="226" t="str">
        <f t="shared" ref="A87:U87" si="18">A$510</f>
        <v>Diocesan Total 2022</v>
      </c>
      <c r="B87" s="226">
        <f t="shared" si="18"/>
        <v>0</v>
      </c>
      <c r="C87" s="226">
        <f t="shared" si="18"/>
        <v>0</v>
      </c>
      <c r="D87" s="258">
        <f t="shared" si="18"/>
        <v>0</v>
      </c>
      <c r="E87" s="226">
        <f t="shared" si="18"/>
        <v>0</v>
      </c>
      <c r="F87" s="226">
        <f t="shared" si="18"/>
        <v>0</v>
      </c>
      <c r="G87" s="83">
        <f t="shared" si="18"/>
        <v>8116012</v>
      </c>
      <c r="H87" s="83">
        <f t="shared" si="18"/>
        <v>6559276.3399999999</v>
      </c>
      <c r="I87" s="133">
        <f t="shared" si="18"/>
        <v>0.80820000000000003</v>
      </c>
      <c r="J87" s="83">
        <f t="shared" si="18"/>
        <v>378351.23</v>
      </c>
      <c r="K87" s="83">
        <f t="shared" si="18"/>
        <v>449442.02</v>
      </c>
      <c r="L87" s="83">
        <f t="shared" si="18"/>
        <v>517036.34</v>
      </c>
      <c r="M87" s="83">
        <f t="shared" si="18"/>
        <v>434875.54000000004</v>
      </c>
      <c r="N87" s="83">
        <f t="shared" si="18"/>
        <v>497786.23</v>
      </c>
      <c r="O87" s="83">
        <f t="shared" si="18"/>
        <v>599586.94000000006</v>
      </c>
      <c r="P87" s="83">
        <f t="shared" si="18"/>
        <v>498701.35</v>
      </c>
      <c r="Q87" s="83">
        <f t="shared" si="18"/>
        <v>538018.41999999993</v>
      </c>
      <c r="R87" s="83">
        <f t="shared" si="18"/>
        <v>551902.79</v>
      </c>
      <c r="S87" s="4">
        <f t="shared" si="18"/>
        <v>564217.18000000005</v>
      </c>
      <c r="T87" s="4">
        <f t="shared" si="18"/>
        <v>645999.05000000005</v>
      </c>
      <c r="U87" s="4">
        <f t="shared" si="18"/>
        <v>736614.44</v>
      </c>
      <c r="V87" s="77"/>
      <c r="W87" s="82"/>
      <c r="X87" s="4"/>
      <c r="Y87" s="4"/>
      <c r="Z87" s="4"/>
      <c r="AA87" s="83"/>
      <c r="AB87" s="83"/>
      <c r="AC87" s="83"/>
      <c r="AD87" s="4"/>
      <c r="AH87" s="23">
        <f>AH$510</f>
        <v>6587993.7699999996</v>
      </c>
      <c r="AJ87" s="23">
        <f>AJ$510</f>
        <v>-28717.429999999702</v>
      </c>
    </row>
    <row r="88" spans="1:43" x14ac:dyDescent="0.2">
      <c r="A88" s="253" t="str">
        <f t="shared" ref="A88:U88" si="19">A$511</f>
        <v>Diocesan Total 2021</v>
      </c>
      <c r="B88" s="253">
        <f t="shared" si="19"/>
        <v>0</v>
      </c>
      <c r="C88" s="253">
        <f t="shared" si="19"/>
        <v>0</v>
      </c>
      <c r="D88" s="259">
        <f t="shared" si="19"/>
        <v>0</v>
      </c>
      <c r="E88" s="253">
        <f t="shared" si="19"/>
        <v>0</v>
      </c>
      <c r="F88" s="253">
        <f t="shared" si="19"/>
        <v>0</v>
      </c>
      <c r="G88" s="206">
        <f t="shared" si="19"/>
        <v>8132853</v>
      </c>
      <c r="H88" s="206">
        <f t="shared" si="19"/>
        <v>6587993.7700000005</v>
      </c>
      <c r="I88" s="207">
        <f t="shared" si="19"/>
        <v>0.81</v>
      </c>
      <c r="J88" s="206">
        <f t="shared" si="19"/>
        <v>340336.86</v>
      </c>
      <c r="K88" s="206">
        <f t="shared" si="19"/>
        <v>407387.73</v>
      </c>
      <c r="L88" s="206">
        <f t="shared" si="19"/>
        <v>497955.59</v>
      </c>
      <c r="M88" s="206">
        <f t="shared" si="19"/>
        <v>513800.89999999997</v>
      </c>
      <c r="N88" s="206">
        <f t="shared" si="19"/>
        <v>483760.16000000003</v>
      </c>
      <c r="O88" s="206">
        <f t="shared" si="19"/>
        <v>527451.71000000008</v>
      </c>
      <c r="P88" s="206">
        <f t="shared" si="19"/>
        <v>582882.6100000001</v>
      </c>
      <c r="Q88" s="206">
        <f t="shared" si="19"/>
        <v>489302.35</v>
      </c>
      <c r="R88" s="206">
        <f t="shared" si="19"/>
        <v>548459.72</v>
      </c>
      <c r="S88" s="206">
        <f t="shared" si="19"/>
        <v>527708.16999999993</v>
      </c>
      <c r="T88" s="206">
        <f t="shared" si="19"/>
        <v>616975.80999999994</v>
      </c>
      <c r="U88" s="206">
        <f t="shared" si="19"/>
        <v>907302.59</v>
      </c>
      <c r="V88" s="206"/>
      <c r="W88" s="206"/>
      <c r="X88" s="206"/>
      <c r="Y88" s="4"/>
      <c r="Z88" s="4"/>
      <c r="AA88" s="206"/>
      <c r="AB88" s="206"/>
      <c r="AC88" s="206"/>
      <c r="AJ88" s="23"/>
    </row>
    <row r="89" spans="1:43" ht="15.75" x14ac:dyDescent="0.25">
      <c r="G89" s="196" t="s">
        <v>8</v>
      </c>
      <c r="X89" s="79"/>
      <c r="Y89" s="4"/>
      <c r="Z89" s="4"/>
      <c r="AH89" s="171" t="s">
        <v>1136</v>
      </c>
      <c r="AI89" s="172"/>
      <c r="AJ89" s="171" t="s">
        <v>1064</v>
      </c>
    </row>
    <row r="90" spans="1:43" x14ac:dyDescent="0.2">
      <c r="X90" s="79"/>
      <c r="Y90" s="4"/>
      <c r="Z90" s="4"/>
      <c r="AH90" s="171" t="s">
        <v>1137</v>
      </c>
      <c r="AI90" s="172"/>
      <c r="AJ90" s="171" t="s">
        <v>1138</v>
      </c>
    </row>
    <row r="91" spans="1:43" ht="16.5" x14ac:dyDescent="0.25">
      <c r="A91" s="250"/>
      <c r="B91" s="8"/>
      <c r="C91" s="8"/>
      <c r="E91" s="8"/>
      <c r="F91" s="8"/>
      <c r="G91" s="208" t="str">
        <f>$G$3</f>
        <v>2022 PARISH SHARE INFORMATION AS AT 31 DECEMBER 2022</v>
      </c>
      <c r="H91" s="209"/>
      <c r="W91" s="194"/>
      <c r="X91"/>
      <c r="Y91" s="4"/>
      <c r="Z91" s="4"/>
      <c r="AA91"/>
      <c r="AB91"/>
      <c r="AC91"/>
      <c r="AH91" s="172"/>
      <c r="AI91" s="172"/>
      <c r="AJ91" s="171" t="s">
        <v>1139</v>
      </c>
    </row>
    <row r="92" spans="1:43" x14ac:dyDescent="0.2">
      <c r="A92" s="250"/>
      <c r="G92" s="205"/>
      <c r="H92" s="197"/>
      <c r="W92" s="194"/>
      <c r="X92"/>
      <c r="Y92" s="4"/>
      <c r="Z92" s="4"/>
      <c r="AA92"/>
      <c r="AB92"/>
      <c r="AC92"/>
    </row>
    <row r="93" spans="1:43" ht="16.5" x14ac:dyDescent="0.25">
      <c r="A93" s="251" t="s">
        <v>1</v>
      </c>
      <c r="B93" s="151" t="str">
        <f>$B$5</f>
        <v>RM</v>
      </c>
      <c r="C93" s="151" t="str">
        <f>$C$5</f>
        <v>RF</v>
      </c>
      <c r="D93" s="151" t="str">
        <f>$D$5</f>
        <v>Accts</v>
      </c>
      <c r="E93" s="151"/>
      <c r="F93" s="151" t="str">
        <f>$F$5</f>
        <v>Share DD</v>
      </c>
      <c r="G93" s="210" t="str">
        <f>$G$5</f>
        <v xml:space="preserve">2022 Share </v>
      </c>
      <c r="H93" s="211" t="str">
        <f>$H$5</f>
        <v xml:space="preserve">2022 Paid </v>
      </c>
      <c r="I93" s="211" t="str">
        <f>$I$5</f>
        <v xml:space="preserve">% Paid </v>
      </c>
      <c r="J93" s="212">
        <f>$J$5</f>
        <v>44592</v>
      </c>
      <c r="K93" s="212">
        <f>$K$5</f>
        <v>44620</v>
      </c>
      <c r="L93" s="212">
        <f>$L$5</f>
        <v>44651</v>
      </c>
      <c r="M93" s="212">
        <f>$M$5</f>
        <v>44681</v>
      </c>
      <c r="N93" s="212">
        <f>$N$5</f>
        <v>44712</v>
      </c>
      <c r="O93" s="212">
        <f>$O$5</f>
        <v>44742</v>
      </c>
      <c r="P93" s="212">
        <f>$P$5</f>
        <v>44773</v>
      </c>
      <c r="Q93" s="212">
        <f>$Q$5</f>
        <v>44804</v>
      </c>
      <c r="R93" s="212">
        <f>$R$5</f>
        <v>44834</v>
      </c>
      <c r="S93" s="155">
        <f>$S$5</f>
        <v>44865</v>
      </c>
      <c r="T93" s="155">
        <f>$T$5</f>
        <v>44895</v>
      </c>
      <c r="U93" s="155">
        <f>$U$5</f>
        <v>44926</v>
      </c>
      <c r="V93" s="78"/>
      <c r="W93" s="195" t="str">
        <f>$W$5</f>
        <v xml:space="preserve">Outstanding </v>
      </c>
      <c r="X93" s="2"/>
      <c r="Y93" s="4"/>
      <c r="Z93" s="4"/>
      <c r="AA93" s="2">
        <f>$AA$5</f>
        <v>44957</v>
      </c>
      <c r="AB93" s="2">
        <f>$AB$5</f>
        <v>44985</v>
      </c>
      <c r="AC93" s="2">
        <f>$AC$5</f>
        <v>45016</v>
      </c>
      <c r="AE93" s="152" t="str">
        <f>$AE$5</f>
        <v>Benefice</v>
      </c>
      <c r="AH93" s="16" t="s">
        <v>1141</v>
      </c>
      <c r="AJ93" s="170" t="s">
        <v>1140</v>
      </c>
      <c r="AQ93" s="222">
        <f>AQ5</f>
        <v>44588</v>
      </c>
    </row>
    <row r="94" spans="1:43" ht="16.5" x14ac:dyDescent="0.25">
      <c r="A94" s="250"/>
      <c r="G94" s="201" t="s">
        <v>1040</v>
      </c>
      <c r="H94" s="202" t="s">
        <v>1040</v>
      </c>
      <c r="I94" s="203"/>
      <c r="J94" s="202" t="s">
        <v>1040</v>
      </c>
      <c r="K94" s="202" t="s">
        <v>1040</v>
      </c>
      <c r="L94" s="202" t="s">
        <v>1040</v>
      </c>
      <c r="M94" s="202" t="s">
        <v>1040</v>
      </c>
      <c r="N94" s="202" t="s">
        <v>1040</v>
      </c>
      <c r="O94" s="202" t="s">
        <v>1040</v>
      </c>
      <c r="P94" s="202" t="s">
        <v>1040</v>
      </c>
      <c r="Q94" s="202" t="s">
        <v>1040</v>
      </c>
      <c r="R94" s="202" t="s">
        <v>1040</v>
      </c>
      <c r="S94" s="147" t="s">
        <v>1040</v>
      </c>
      <c r="T94" s="147" t="s">
        <v>1040</v>
      </c>
      <c r="U94" s="147" t="s">
        <v>1040</v>
      </c>
      <c r="W94" s="194"/>
      <c r="X94"/>
      <c r="Y94" s="4"/>
      <c r="Z94" s="4"/>
      <c r="AA94"/>
      <c r="AB94"/>
      <c r="AC94"/>
      <c r="AJ94" s="23"/>
    </row>
    <row r="95" spans="1:43" x14ac:dyDescent="0.2">
      <c r="X95" s="79"/>
      <c r="Y95" s="4"/>
      <c r="Z95" s="4"/>
      <c r="AJ95" s="23"/>
    </row>
    <row r="96" spans="1:43" x14ac:dyDescent="0.2">
      <c r="A96" s="226" t="s">
        <v>78</v>
      </c>
      <c r="B96" s="9" t="s">
        <v>495</v>
      </c>
      <c r="C96" s="9" t="s">
        <v>495</v>
      </c>
      <c r="D96" s="9" t="s">
        <v>495</v>
      </c>
      <c r="E96" s="9"/>
      <c r="F96" s="9">
        <v>0</v>
      </c>
      <c r="G96" s="83">
        <v>17298</v>
      </c>
      <c r="H96" s="83">
        <f t="shared" ref="H96:H120" si="20">SUM(J96:U96)+SUM(AA96:AC96)</f>
        <v>18681</v>
      </c>
      <c r="I96" s="133">
        <f t="shared" ref="I96:I120" si="21">ROUND((H96/G96),4)</f>
        <v>1.08</v>
      </c>
      <c r="J96" s="82">
        <v>700</v>
      </c>
      <c r="K96" s="82">
        <v>700</v>
      </c>
      <c r="L96" s="82">
        <v>700</v>
      </c>
      <c r="M96" s="82">
        <v>2924.5</v>
      </c>
      <c r="N96" s="82">
        <v>700</v>
      </c>
      <c r="O96" s="82">
        <v>700</v>
      </c>
      <c r="P96" s="82">
        <v>700</v>
      </c>
      <c r="Q96" s="82">
        <v>3666</v>
      </c>
      <c r="R96" s="82">
        <v>700</v>
      </c>
      <c r="S96" s="23">
        <v>700</v>
      </c>
      <c r="T96" s="23">
        <v>700</v>
      </c>
      <c r="U96" s="23">
        <v>4407.5</v>
      </c>
      <c r="V96" s="79" t="s">
        <v>557</v>
      </c>
      <c r="W96" s="82">
        <f t="shared" ref="W96:W120" si="22">G96-H96</f>
        <v>-1383</v>
      </c>
      <c r="X96" s="79"/>
      <c r="Y96" s="4"/>
      <c r="Z96" s="4"/>
      <c r="AA96" s="82">
        <v>1383</v>
      </c>
      <c r="AB96" s="82"/>
      <c r="AC96" s="82"/>
      <c r="AD96" s="23"/>
      <c r="AE96" s="7" t="s">
        <v>394</v>
      </c>
      <c r="AH96" s="23">
        <f>SUM('2021 Detail'!J91:U91)+SUM('2021 Detail'!AA91:AC91)</f>
        <v>17298</v>
      </c>
      <c r="AJ96" s="23">
        <f t="shared" ref="AJ96:AJ159" si="23">H96-AH96</f>
        <v>1383</v>
      </c>
      <c r="AL96" t="str">
        <f t="shared" ref="AL96:AL120" si="24">IF(AJ96&lt;0,"Down",IF(AJ96&gt;0,"Up","Same"))</f>
        <v>Up</v>
      </c>
      <c r="AQ96" s="23">
        <v>1441.5</v>
      </c>
    </row>
    <row r="97" spans="1:43" x14ac:dyDescent="0.2">
      <c r="A97" s="226" t="s">
        <v>79</v>
      </c>
      <c r="B97" s="9" t="s">
        <v>495</v>
      </c>
      <c r="C97" s="9">
        <v>0</v>
      </c>
      <c r="D97" s="9" t="s">
        <v>495</v>
      </c>
      <c r="E97" s="9"/>
      <c r="F97" s="9">
        <v>0</v>
      </c>
      <c r="G97" s="83">
        <v>14646</v>
      </c>
      <c r="H97" s="83">
        <f t="shared" si="20"/>
        <v>14646</v>
      </c>
      <c r="I97" s="133">
        <f t="shared" si="21"/>
        <v>1</v>
      </c>
      <c r="J97" s="82">
        <v>750</v>
      </c>
      <c r="K97" s="82">
        <v>750</v>
      </c>
      <c r="L97" s="82">
        <v>750</v>
      </c>
      <c r="M97" s="82">
        <v>750</v>
      </c>
      <c r="N97" s="82">
        <v>750</v>
      </c>
      <c r="O97" s="82">
        <v>750</v>
      </c>
      <c r="P97" s="82">
        <v>750</v>
      </c>
      <c r="Q97" s="82">
        <v>750</v>
      </c>
      <c r="R97" s="82">
        <v>750</v>
      </c>
      <c r="S97" s="23">
        <v>750</v>
      </c>
      <c r="T97" s="23">
        <v>750</v>
      </c>
      <c r="U97" s="23">
        <f>750+5646</f>
        <v>6396</v>
      </c>
      <c r="V97" s="79" t="s">
        <v>558</v>
      </c>
      <c r="W97" s="82">
        <f t="shared" si="22"/>
        <v>0</v>
      </c>
      <c r="X97" s="79"/>
      <c r="Y97" s="4"/>
      <c r="Z97" s="4"/>
      <c r="AA97" s="82"/>
      <c r="AB97" s="82"/>
      <c r="AC97" s="82"/>
      <c r="AD97" s="23"/>
      <c r="AE97" s="7" t="s">
        <v>394</v>
      </c>
      <c r="AH97" s="23">
        <f>SUM('2021 Detail'!J92:U92)+SUM('2021 Detail'!AA92:AC92)</f>
        <v>14646</v>
      </c>
      <c r="AJ97" s="23">
        <f t="shared" si="23"/>
        <v>0</v>
      </c>
      <c r="AL97" t="str">
        <f t="shared" si="24"/>
        <v>Same</v>
      </c>
      <c r="AQ97" s="23">
        <v>6084</v>
      </c>
    </row>
    <row r="98" spans="1:43" x14ac:dyDescent="0.2">
      <c r="A98" s="226" t="s">
        <v>80</v>
      </c>
      <c r="B98" s="9" t="s">
        <v>495</v>
      </c>
      <c r="C98" s="9" t="s">
        <v>495</v>
      </c>
      <c r="D98" s="9" t="s">
        <v>495</v>
      </c>
      <c r="E98" s="9"/>
      <c r="F98" s="9" t="s">
        <v>495</v>
      </c>
      <c r="G98" s="83">
        <v>27226</v>
      </c>
      <c r="H98" s="83">
        <f t="shared" si="20"/>
        <v>4689.7</v>
      </c>
      <c r="I98" s="133">
        <f t="shared" si="21"/>
        <v>0.17230000000000001</v>
      </c>
      <c r="J98" s="82">
        <v>0</v>
      </c>
      <c r="K98" s="82"/>
      <c r="L98" s="82">
        <v>2344.85</v>
      </c>
      <c r="M98" s="82"/>
      <c r="N98" s="82"/>
      <c r="O98" s="82"/>
      <c r="P98" s="82"/>
      <c r="Q98" s="82"/>
      <c r="R98" s="82"/>
      <c r="S98" s="23"/>
      <c r="T98" s="23"/>
      <c r="U98" s="23">
        <v>2344.85</v>
      </c>
      <c r="V98" s="79" t="s">
        <v>559</v>
      </c>
      <c r="W98" s="82">
        <f t="shared" si="22"/>
        <v>22536.3</v>
      </c>
      <c r="X98" s="79"/>
      <c r="Y98" s="4"/>
      <c r="Z98" s="4"/>
      <c r="AA98" s="82"/>
      <c r="AB98" s="82"/>
      <c r="AC98" s="82"/>
      <c r="AD98" s="23"/>
      <c r="AE98" s="7" t="s">
        <v>1200</v>
      </c>
      <c r="AH98" s="23">
        <f>SUM('2021 Detail'!J93:U93)+SUM('2021 Detail'!AA93:AC93)</f>
        <v>9379.4</v>
      </c>
      <c r="AJ98" s="23">
        <f t="shared" si="23"/>
        <v>-4689.7</v>
      </c>
      <c r="AL98" t="str">
        <f t="shared" si="24"/>
        <v>Down</v>
      </c>
    </row>
    <row r="99" spans="1:43" x14ac:dyDescent="0.2">
      <c r="A99" s="226" t="s">
        <v>81</v>
      </c>
      <c r="B99" s="9" t="s">
        <v>495</v>
      </c>
      <c r="C99" s="9" t="s">
        <v>495</v>
      </c>
      <c r="D99" s="9">
        <v>0</v>
      </c>
      <c r="E99" s="9"/>
      <c r="F99" s="9">
        <v>0</v>
      </c>
      <c r="G99" s="83">
        <v>27227</v>
      </c>
      <c r="H99" s="83">
        <f t="shared" si="20"/>
        <v>8000</v>
      </c>
      <c r="I99" s="133">
        <f t="shared" si="21"/>
        <v>0.29380000000000001</v>
      </c>
      <c r="J99" s="82">
        <v>0</v>
      </c>
      <c r="K99" s="82">
        <v>2000</v>
      </c>
      <c r="L99" s="82"/>
      <c r="M99" s="82"/>
      <c r="N99" s="82"/>
      <c r="O99" s="82">
        <v>2000</v>
      </c>
      <c r="P99" s="82"/>
      <c r="Q99" s="82"/>
      <c r="R99" s="82"/>
      <c r="S99" s="23">
        <v>2000</v>
      </c>
      <c r="T99" s="23"/>
      <c r="U99" s="23">
        <v>2000</v>
      </c>
      <c r="V99" s="79" t="s">
        <v>560</v>
      </c>
      <c r="W99" s="82">
        <f t="shared" si="22"/>
        <v>19227</v>
      </c>
      <c r="X99" s="79"/>
      <c r="Y99" s="4"/>
      <c r="Z99" s="4"/>
      <c r="AA99" s="82"/>
      <c r="AB99" s="82"/>
      <c r="AC99" s="82"/>
      <c r="AD99" s="23"/>
      <c r="AE99" s="7" t="s">
        <v>1200</v>
      </c>
      <c r="AH99" s="23">
        <f>SUM('2021 Detail'!J94:U94)+SUM('2021 Detail'!AA94:AC94)</f>
        <v>4000</v>
      </c>
      <c r="AJ99" s="23">
        <f t="shared" si="23"/>
        <v>4000</v>
      </c>
      <c r="AL99" t="str">
        <f t="shared" si="24"/>
        <v>Up</v>
      </c>
    </row>
    <row r="100" spans="1:43" x14ac:dyDescent="0.2">
      <c r="A100" s="226" t="s">
        <v>82</v>
      </c>
      <c r="B100" s="9" t="s">
        <v>495</v>
      </c>
      <c r="C100" s="9" t="s">
        <v>495</v>
      </c>
      <c r="D100" s="9">
        <v>0</v>
      </c>
      <c r="E100" s="9"/>
      <c r="F100" s="9">
        <v>0</v>
      </c>
      <c r="G100" s="83">
        <v>45546</v>
      </c>
      <c r="H100" s="83">
        <f t="shared" si="20"/>
        <v>45546</v>
      </c>
      <c r="I100" s="133">
        <f t="shared" si="21"/>
        <v>1</v>
      </c>
      <c r="J100" s="82">
        <v>3795.49</v>
      </c>
      <c r="K100" s="82">
        <v>3795.51</v>
      </c>
      <c r="L100" s="82">
        <v>3795.5</v>
      </c>
      <c r="M100" s="82">
        <v>3795.5</v>
      </c>
      <c r="N100" s="82">
        <v>3795.5</v>
      </c>
      <c r="O100" s="82">
        <v>3795.5</v>
      </c>
      <c r="P100" s="82">
        <v>3795.5</v>
      </c>
      <c r="Q100" s="82">
        <v>3795.5</v>
      </c>
      <c r="R100" s="82">
        <v>3795.5</v>
      </c>
      <c r="S100" s="23">
        <v>3795.5</v>
      </c>
      <c r="T100" s="23">
        <v>3795.5</v>
      </c>
      <c r="U100" s="23">
        <v>3795.5</v>
      </c>
      <c r="V100" s="79" t="s">
        <v>561</v>
      </c>
      <c r="W100" s="82">
        <f t="shared" si="22"/>
        <v>0</v>
      </c>
      <c r="X100" s="79"/>
      <c r="Y100" s="4"/>
      <c r="Z100" s="4"/>
      <c r="AA100" s="82"/>
      <c r="AB100" s="82"/>
      <c r="AC100" s="82"/>
      <c r="AD100" s="23"/>
      <c r="AE100" s="7" t="s">
        <v>1199</v>
      </c>
      <c r="AH100" s="23">
        <f>SUM('2021 Detail'!J95:U95)+SUM('2021 Detail'!AA95:AC95)</f>
        <v>45545</v>
      </c>
      <c r="AJ100" s="23">
        <f t="shared" si="23"/>
        <v>1</v>
      </c>
      <c r="AL100" t="str">
        <f t="shared" si="24"/>
        <v>Up</v>
      </c>
      <c r="AQ100" s="23">
        <v>3795.41</v>
      </c>
    </row>
    <row r="101" spans="1:43" x14ac:dyDescent="0.2">
      <c r="A101" s="226" t="s">
        <v>83</v>
      </c>
      <c r="B101" s="9" t="s">
        <v>495</v>
      </c>
      <c r="C101" s="9">
        <v>0</v>
      </c>
      <c r="D101" s="9">
        <v>0</v>
      </c>
      <c r="E101" s="9"/>
      <c r="F101" s="9">
        <v>0</v>
      </c>
      <c r="G101" s="83">
        <v>33621</v>
      </c>
      <c r="H101" s="83">
        <f t="shared" si="20"/>
        <v>20749</v>
      </c>
      <c r="I101" s="133">
        <f t="shared" si="21"/>
        <v>0.61709999999999998</v>
      </c>
      <c r="J101" s="82">
        <v>1000</v>
      </c>
      <c r="K101" s="82">
        <v>1000</v>
      </c>
      <c r="L101" s="82">
        <v>1000</v>
      </c>
      <c r="M101" s="82">
        <v>1000</v>
      </c>
      <c r="N101" s="82">
        <v>1000</v>
      </c>
      <c r="O101" s="82">
        <v>1000</v>
      </c>
      <c r="P101" s="82">
        <v>1000</v>
      </c>
      <c r="Q101" s="82">
        <v>1000</v>
      </c>
      <c r="R101" s="82">
        <v>1000</v>
      </c>
      <c r="S101" s="23">
        <v>1000</v>
      </c>
      <c r="T101" s="23">
        <v>1000</v>
      </c>
      <c r="U101" s="23">
        <v>9749</v>
      </c>
      <c r="V101" s="79" t="s">
        <v>562</v>
      </c>
      <c r="W101" s="82">
        <f t="shared" si="22"/>
        <v>12872</v>
      </c>
      <c r="X101" s="79"/>
      <c r="Y101" s="4"/>
      <c r="Z101" s="4"/>
      <c r="AA101" s="82"/>
      <c r="AB101" s="82"/>
      <c r="AC101" s="82"/>
      <c r="AD101" s="23"/>
      <c r="AE101" s="7" t="s">
        <v>395</v>
      </c>
      <c r="AH101" s="23">
        <f>SUM('2021 Detail'!J96:U96)+SUM('2021 Detail'!AA96:AC96)</f>
        <v>18380.98</v>
      </c>
      <c r="AJ101" s="23">
        <f t="shared" si="23"/>
        <v>2368.0200000000004</v>
      </c>
      <c r="AL101" t="str">
        <f t="shared" si="24"/>
        <v>Up</v>
      </c>
      <c r="AQ101" s="23">
        <v>7380.98</v>
      </c>
    </row>
    <row r="102" spans="1:43" x14ac:dyDescent="0.2">
      <c r="A102" s="226" t="s">
        <v>85</v>
      </c>
      <c r="B102" s="9" t="s">
        <v>495</v>
      </c>
      <c r="C102" s="9" t="s">
        <v>495</v>
      </c>
      <c r="D102" s="9">
        <v>0</v>
      </c>
      <c r="E102" s="9"/>
      <c r="F102" s="9" t="s">
        <v>495</v>
      </c>
      <c r="G102" s="83">
        <v>10667</v>
      </c>
      <c r="H102" s="83">
        <f t="shared" si="20"/>
        <v>9284</v>
      </c>
      <c r="I102" s="133">
        <f t="shared" si="21"/>
        <v>0.87029999999999996</v>
      </c>
      <c r="J102" s="82">
        <v>0</v>
      </c>
      <c r="K102" s="82"/>
      <c r="L102" s="82"/>
      <c r="M102" s="82">
        <v>2321</v>
      </c>
      <c r="N102" s="82"/>
      <c r="O102" s="82"/>
      <c r="P102" s="82"/>
      <c r="Q102" s="82">
        <v>2321</v>
      </c>
      <c r="R102" s="82"/>
      <c r="S102" s="23"/>
      <c r="T102" s="23">
        <v>2321</v>
      </c>
      <c r="U102" s="23">
        <v>2321</v>
      </c>
      <c r="V102" s="79" t="s">
        <v>564</v>
      </c>
      <c r="W102" s="82">
        <f t="shared" si="22"/>
        <v>1383</v>
      </c>
      <c r="X102" s="79"/>
      <c r="Y102" s="4"/>
      <c r="Z102" s="4"/>
      <c r="AA102" s="82"/>
      <c r="AB102" s="82"/>
      <c r="AC102" s="82"/>
      <c r="AD102" s="23"/>
      <c r="AE102" s="7" t="s">
        <v>394</v>
      </c>
      <c r="AH102" s="23">
        <f>SUM('2021 Detail'!J98:U98)+SUM('2021 Detail'!AA98:AC98)</f>
        <v>6188</v>
      </c>
      <c r="AJ102" s="23">
        <f t="shared" si="23"/>
        <v>3096</v>
      </c>
      <c r="AL102" t="str">
        <f t="shared" si="24"/>
        <v>Up</v>
      </c>
    </row>
    <row r="103" spans="1:43" x14ac:dyDescent="0.2">
      <c r="A103" s="226" t="s">
        <v>86</v>
      </c>
      <c r="B103" s="9" t="s">
        <v>495</v>
      </c>
      <c r="C103" s="9" t="s">
        <v>495</v>
      </c>
      <c r="D103" s="9" t="s">
        <v>495</v>
      </c>
      <c r="E103" s="9"/>
      <c r="F103" s="9">
        <v>0</v>
      </c>
      <c r="G103" s="83">
        <v>10383</v>
      </c>
      <c r="H103" s="83">
        <f t="shared" si="20"/>
        <v>10383</v>
      </c>
      <c r="I103" s="133">
        <f t="shared" si="21"/>
        <v>1</v>
      </c>
      <c r="J103" s="82">
        <v>100</v>
      </c>
      <c r="K103" s="82">
        <v>100</v>
      </c>
      <c r="L103" s="82">
        <v>100</v>
      </c>
      <c r="M103" s="82">
        <v>100</v>
      </c>
      <c r="N103" s="82">
        <v>2100</v>
      </c>
      <c r="O103" s="82">
        <v>100</v>
      </c>
      <c r="P103" s="82">
        <v>100</v>
      </c>
      <c r="Q103" s="82">
        <v>3100</v>
      </c>
      <c r="R103" s="82">
        <v>100</v>
      </c>
      <c r="S103" s="23">
        <v>100</v>
      </c>
      <c r="T103" s="23">
        <v>100</v>
      </c>
      <c r="U103" s="23">
        <v>4283</v>
      </c>
      <c r="V103" s="79" t="s">
        <v>565</v>
      </c>
      <c r="W103" s="82">
        <f t="shared" si="22"/>
        <v>0</v>
      </c>
      <c r="X103" s="79"/>
      <c r="Y103" s="4"/>
      <c r="Z103" s="4"/>
      <c r="AA103" s="82"/>
      <c r="AB103" s="82"/>
      <c r="AC103" s="82"/>
      <c r="AD103" s="23"/>
      <c r="AE103" s="7" t="s">
        <v>394</v>
      </c>
      <c r="AH103" s="23">
        <f>SUM('2021 Detail'!J99:U99)+SUM('2021 Detail'!AA99:AC99)</f>
        <v>10383</v>
      </c>
      <c r="AJ103" s="23">
        <f t="shared" si="23"/>
        <v>0</v>
      </c>
      <c r="AL103" t="str">
        <f t="shared" si="24"/>
        <v>Same</v>
      </c>
      <c r="AQ103" s="23">
        <v>3583</v>
      </c>
    </row>
    <row r="104" spans="1:43" x14ac:dyDescent="0.2">
      <c r="A104" s="226" t="s">
        <v>87</v>
      </c>
      <c r="B104" s="9">
        <v>0</v>
      </c>
      <c r="C104" s="9">
        <v>0</v>
      </c>
      <c r="D104" s="9">
        <v>0</v>
      </c>
      <c r="E104" s="9"/>
      <c r="F104" s="9">
        <v>0</v>
      </c>
      <c r="G104" s="83">
        <v>13322</v>
      </c>
      <c r="H104" s="83">
        <f t="shared" si="20"/>
        <v>13322</v>
      </c>
      <c r="I104" s="133">
        <f t="shared" si="21"/>
        <v>1</v>
      </c>
      <c r="J104" s="82">
        <v>1110.24</v>
      </c>
      <c r="K104" s="82">
        <v>1110.1600000000001</v>
      </c>
      <c r="L104" s="82">
        <v>1110.1600000000001</v>
      </c>
      <c r="M104" s="82">
        <v>1110.1600000000001</v>
      </c>
      <c r="N104" s="82">
        <v>1110.1600000000001</v>
      </c>
      <c r="O104" s="82">
        <v>1110.1600000000001</v>
      </c>
      <c r="P104" s="82">
        <v>1110.1600000000001</v>
      </c>
      <c r="Q104" s="82">
        <v>1110.1600000000001</v>
      </c>
      <c r="R104" s="82">
        <v>1110.1600000000001</v>
      </c>
      <c r="S104" s="23">
        <v>1110.1600000000001</v>
      </c>
      <c r="T104" s="23">
        <v>1110.1600000000001</v>
      </c>
      <c r="U104" s="23">
        <v>1110.1600000000001</v>
      </c>
      <c r="V104" s="79" t="s">
        <v>566</v>
      </c>
      <c r="W104" s="82">
        <f t="shared" si="22"/>
        <v>0</v>
      </c>
      <c r="X104" s="79"/>
      <c r="Y104" s="4"/>
      <c r="Z104" s="4"/>
      <c r="AA104" s="82"/>
      <c r="AB104" s="82"/>
      <c r="AC104" s="82"/>
      <c r="AD104" s="23"/>
      <c r="AE104" s="7" t="s">
        <v>394</v>
      </c>
      <c r="AH104" s="23">
        <f>SUM('2021 Detail'!J100:U100)+SUM('2021 Detail'!AA100:AC100)</f>
        <v>13321.999999999998</v>
      </c>
      <c r="AJ104" s="23">
        <f t="shared" si="23"/>
        <v>0</v>
      </c>
      <c r="AL104" t="str">
        <f t="shared" si="24"/>
        <v>Same</v>
      </c>
      <c r="AQ104" s="23">
        <v>1120.4000000000001</v>
      </c>
    </row>
    <row r="105" spans="1:43" x14ac:dyDescent="0.2">
      <c r="A105" s="226" t="s">
        <v>88</v>
      </c>
      <c r="B105" s="9" t="s">
        <v>495</v>
      </c>
      <c r="C105" s="9" t="s">
        <v>495</v>
      </c>
      <c r="D105" s="9">
        <v>0</v>
      </c>
      <c r="E105" s="9"/>
      <c r="F105" s="9">
        <v>0</v>
      </c>
      <c r="G105" s="83">
        <v>51934</v>
      </c>
      <c r="H105" s="83">
        <f t="shared" si="20"/>
        <v>51934</v>
      </c>
      <c r="I105" s="133">
        <f t="shared" si="21"/>
        <v>1</v>
      </c>
      <c r="J105" s="82">
        <v>4500</v>
      </c>
      <c r="K105" s="82"/>
      <c r="L105" s="82">
        <v>9000</v>
      </c>
      <c r="M105" s="82">
        <v>4500</v>
      </c>
      <c r="N105" s="82">
        <v>4500</v>
      </c>
      <c r="O105" s="82">
        <v>4500</v>
      </c>
      <c r="P105" s="82">
        <v>4500</v>
      </c>
      <c r="Q105" s="82">
        <v>4500</v>
      </c>
      <c r="R105" s="82">
        <v>4500</v>
      </c>
      <c r="S105" s="23">
        <v>4500</v>
      </c>
      <c r="T105" s="23">
        <v>6934</v>
      </c>
      <c r="U105" s="23"/>
      <c r="V105" s="79" t="s">
        <v>567</v>
      </c>
      <c r="W105" s="82">
        <f t="shared" si="22"/>
        <v>0</v>
      </c>
      <c r="X105" s="79"/>
      <c r="Y105" s="4"/>
      <c r="Z105" s="4"/>
      <c r="AA105" s="82"/>
      <c r="AB105" s="82"/>
      <c r="AC105" s="82"/>
      <c r="AD105" s="23"/>
      <c r="AE105" s="7" t="s">
        <v>396</v>
      </c>
      <c r="AH105" s="23">
        <f>SUM('2021 Detail'!J101:U101)+SUM('2021 Detail'!AA101:AC101)</f>
        <v>51935</v>
      </c>
      <c r="AJ105" s="23">
        <f t="shared" si="23"/>
        <v>-1</v>
      </c>
      <c r="AL105" t="str">
        <f t="shared" si="24"/>
        <v>Down</v>
      </c>
    </row>
    <row r="106" spans="1:43" x14ac:dyDescent="0.2">
      <c r="A106" s="226" t="s">
        <v>90</v>
      </c>
      <c r="B106" s="9" t="s">
        <v>495</v>
      </c>
      <c r="C106" s="9">
        <v>0</v>
      </c>
      <c r="D106" s="9">
        <v>0</v>
      </c>
      <c r="E106" s="9"/>
      <c r="F106" s="9" t="s">
        <v>495</v>
      </c>
      <c r="G106" s="83">
        <v>22788</v>
      </c>
      <c r="H106" s="83">
        <f t="shared" si="20"/>
        <v>22788</v>
      </c>
      <c r="I106" s="133">
        <f t="shared" si="21"/>
        <v>1</v>
      </c>
      <c r="J106" s="82">
        <v>0</v>
      </c>
      <c r="K106" s="82"/>
      <c r="L106" s="82">
        <v>5697</v>
      </c>
      <c r="M106" s="82"/>
      <c r="N106" s="82">
        <v>3877</v>
      </c>
      <c r="O106" s="82"/>
      <c r="P106" s="82"/>
      <c r="Q106" s="82"/>
      <c r="R106" s="82">
        <v>7517</v>
      </c>
      <c r="S106" s="23"/>
      <c r="T106" s="23"/>
      <c r="U106" s="23"/>
      <c r="V106" s="79" t="s">
        <v>569</v>
      </c>
      <c r="W106" s="82">
        <f t="shared" si="22"/>
        <v>0</v>
      </c>
      <c r="X106" s="79"/>
      <c r="Y106" s="4"/>
      <c r="Z106" s="4"/>
      <c r="AA106" s="82"/>
      <c r="AB106" s="82">
        <v>5697</v>
      </c>
      <c r="AC106" s="82"/>
      <c r="AD106" s="23"/>
      <c r="AE106" s="7" t="s">
        <v>397</v>
      </c>
      <c r="AH106" s="23">
        <f>SUM('2021 Detail'!J103:U103)+SUM('2021 Detail'!AA103:AC103)</f>
        <v>22788</v>
      </c>
      <c r="AJ106" s="23">
        <f t="shared" si="23"/>
        <v>0</v>
      </c>
      <c r="AL106" t="str">
        <f t="shared" si="24"/>
        <v>Same</v>
      </c>
      <c r="AQ106" s="23">
        <v>5697</v>
      </c>
    </row>
    <row r="107" spans="1:43" x14ac:dyDescent="0.2">
      <c r="A107" s="226" t="s">
        <v>91</v>
      </c>
      <c r="B107" s="9" t="s">
        <v>495</v>
      </c>
      <c r="C107" s="9" t="s">
        <v>495</v>
      </c>
      <c r="D107" s="9" t="s">
        <v>495</v>
      </c>
      <c r="E107" s="9"/>
      <c r="F107" s="9">
        <v>0</v>
      </c>
      <c r="G107" s="83">
        <v>6833</v>
      </c>
      <c r="H107" s="83">
        <f t="shared" si="20"/>
        <v>6833.0000000000009</v>
      </c>
      <c r="I107" s="133">
        <f t="shared" si="21"/>
        <v>1</v>
      </c>
      <c r="J107" s="82">
        <v>683.3</v>
      </c>
      <c r="K107" s="82">
        <v>683.3</v>
      </c>
      <c r="L107" s="82">
        <v>683.3</v>
      </c>
      <c r="M107" s="82">
        <v>683.3</v>
      </c>
      <c r="N107" s="82">
        <v>683.3</v>
      </c>
      <c r="O107" s="82">
        <v>683.3</v>
      </c>
      <c r="P107" s="82">
        <v>683.3</v>
      </c>
      <c r="Q107" s="82">
        <v>683.3</v>
      </c>
      <c r="R107" s="82">
        <v>683.3</v>
      </c>
      <c r="S107" s="23">
        <v>683.3</v>
      </c>
      <c r="T107" s="23"/>
      <c r="U107" s="23"/>
      <c r="V107" s="79" t="s">
        <v>570</v>
      </c>
      <c r="W107" s="82">
        <f t="shared" si="22"/>
        <v>0</v>
      </c>
      <c r="X107" s="79"/>
      <c r="Y107" s="4"/>
      <c r="Z107" s="4"/>
      <c r="AA107" s="82"/>
      <c r="AB107" s="82"/>
      <c r="AC107" s="82"/>
      <c r="AD107" s="23"/>
      <c r="AE107" s="7" t="s">
        <v>398</v>
      </c>
      <c r="AH107" s="23">
        <f>SUM('2021 Detail'!J104:U104)+SUM('2021 Detail'!AA104:AC104)</f>
        <v>6833</v>
      </c>
      <c r="AJ107" s="23">
        <f t="shared" si="23"/>
        <v>0</v>
      </c>
      <c r="AL107" t="str">
        <f t="shared" si="24"/>
        <v>Same</v>
      </c>
      <c r="AQ107" s="23">
        <v>0</v>
      </c>
    </row>
    <row r="108" spans="1:43" x14ac:dyDescent="0.2">
      <c r="A108" s="226" t="s">
        <v>92</v>
      </c>
      <c r="B108" s="9">
        <v>0</v>
      </c>
      <c r="C108" s="9">
        <v>0</v>
      </c>
      <c r="D108" s="9">
        <v>0</v>
      </c>
      <c r="E108" s="9"/>
      <c r="F108" s="9" t="s">
        <v>495</v>
      </c>
      <c r="G108" s="83">
        <v>3387</v>
      </c>
      <c r="H108" s="83">
        <f t="shared" si="20"/>
        <v>2540.25</v>
      </c>
      <c r="I108" s="133">
        <f t="shared" si="21"/>
        <v>0.75</v>
      </c>
      <c r="J108" s="82">
        <v>282.25</v>
      </c>
      <c r="K108" s="82">
        <v>282.25</v>
      </c>
      <c r="L108" s="82">
        <v>282.25</v>
      </c>
      <c r="M108" s="82">
        <v>282.25</v>
      </c>
      <c r="N108" s="82">
        <v>282.25</v>
      </c>
      <c r="O108" s="82">
        <v>282.25</v>
      </c>
      <c r="P108" s="82">
        <v>282.25</v>
      </c>
      <c r="Q108" s="82">
        <v>282.25</v>
      </c>
      <c r="R108" s="82">
        <v>282.25</v>
      </c>
      <c r="S108" s="23">
        <v>0</v>
      </c>
      <c r="T108" s="23">
        <v>0</v>
      </c>
      <c r="U108" s="23"/>
      <c r="V108" s="79" t="s">
        <v>571</v>
      </c>
      <c r="W108" s="82">
        <f t="shared" si="22"/>
        <v>846.75</v>
      </c>
      <c r="X108" s="79"/>
      <c r="Y108" s="4"/>
      <c r="Z108" s="4"/>
      <c r="AA108" s="82"/>
      <c r="AB108" s="82"/>
      <c r="AC108" s="82"/>
      <c r="AD108" s="23"/>
      <c r="AE108" s="7" t="s">
        <v>397</v>
      </c>
      <c r="AH108" s="23">
        <f>SUM('2021 Detail'!J105:U105)+SUM('2021 Detail'!AA105:AC105)</f>
        <v>3387</v>
      </c>
      <c r="AJ108" s="23">
        <f t="shared" si="23"/>
        <v>-846.75</v>
      </c>
      <c r="AL108" t="str">
        <f t="shared" si="24"/>
        <v>Down</v>
      </c>
      <c r="AQ108" s="23">
        <v>282.25</v>
      </c>
    </row>
    <row r="109" spans="1:43" x14ac:dyDescent="0.2">
      <c r="A109" s="226" t="s">
        <v>93</v>
      </c>
      <c r="B109" s="9" t="s">
        <v>495</v>
      </c>
      <c r="C109" s="9" t="s">
        <v>495</v>
      </c>
      <c r="D109" s="9" t="s">
        <v>495</v>
      </c>
      <c r="E109" s="9"/>
      <c r="F109" s="9">
        <v>0</v>
      </c>
      <c r="G109" s="83">
        <v>19582</v>
      </c>
      <c r="H109" s="83">
        <f t="shared" si="20"/>
        <v>19582</v>
      </c>
      <c r="I109" s="133">
        <f t="shared" si="21"/>
        <v>1</v>
      </c>
      <c r="J109" s="82">
        <v>0</v>
      </c>
      <c r="K109" s="82">
        <v>3250</v>
      </c>
      <c r="L109" s="82"/>
      <c r="M109" s="82">
        <v>3250</v>
      </c>
      <c r="N109" s="82"/>
      <c r="O109" s="82">
        <v>3250</v>
      </c>
      <c r="P109" s="82"/>
      <c r="Q109" s="82">
        <v>3250</v>
      </c>
      <c r="R109" s="82"/>
      <c r="S109" s="23">
        <v>3250</v>
      </c>
      <c r="T109" s="23"/>
      <c r="U109" s="23">
        <v>3332</v>
      </c>
      <c r="V109" s="79" t="s">
        <v>572</v>
      </c>
      <c r="W109" s="82">
        <f t="shared" si="22"/>
        <v>0</v>
      </c>
      <c r="X109" s="79"/>
      <c r="Y109" s="4"/>
      <c r="Z109" s="4"/>
      <c r="AA109" s="82"/>
      <c r="AB109" s="82"/>
      <c r="AC109" s="82"/>
      <c r="AD109" s="23"/>
      <c r="AE109" s="7" t="s">
        <v>395</v>
      </c>
      <c r="AH109" s="23">
        <f>SUM('2021 Detail'!J106:U106)+SUM('2021 Detail'!AA106:AC106)</f>
        <v>15900</v>
      </c>
      <c r="AJ109" s="23">
        <f t="shared" si="23"/>
        <v>3682</v>
      </c>
      <c r="AL109" t="str">
        <f t="shared" si="24"/>
        <v>Up</v>
      </c>
    </row>
    <row r="110" spans="1:43" x14ac:dyDescent="0.2">
      <c r="A110" s="226" t="s">
        <v>94</v>
      </c>
      <c r="B110" s="9" t="s">
        <v>495</v>
      </c>
      <c r="C110" s="9" t="s">
        <v>495</v>
      </c>
      <c r="D110" s="9" t="s">
        <v>495</v>
      </c>
      <c r="E110" s="9"/>
      <c r="F110" s="9">
        <v>0</v>
      </c>
      <c r="G110" s="83">
        <v>22788</v>
      </c>
      <c r="H110" s="83">
        <f t="shared" si="20"/>
        <v>22788</v>
      </c>
      <c r="I110" s="133">
        <f t="shared" si="21"/>
        <v>1</v>
      </c>
      <c r="J110" s="82">
        <v>1899</v>
      </c>
      <c r="K110" s="82">
        <v>1899</v>
      </c>
      <c r="L110" s="82">
        <v>1899</v>
      </c>
      <c r="M110" s="82">
        <v>1899</v>
      </c>
      <c r="N110" s="82">
        <v>1899</v>
      </c>
      <c r="O110" s="82">
        <v>1899</v>
      </c>
      <c r="P110" s="82">
        <v>1899</v>
      </c>
      <c r="Q110" s="82">
        <v>1899</v>
      </c>
      <c r="R110" s="82">
        <v>899</v>
      </c>
      <c r="S110" s="23">
        <v>899</v>
      </c>
      <c r="T110" s="23">
        <v>3899</v>
      </c>
      <c r="U110" s="23">
        <v>1899</v>
      </c>
      <c r="V110" s="79" t="s">
        <v>573</v>
      </c>
      <c r="W110" s="82">
        <f t="shared" si="22"/>
        <v>0</v>
      </c>
      <c r="X110" s="79"/>
      <c r="Y110" s="4"/>
      <c r="Z110" s="4"/>
      <c r="AA110" s="82"/>
      <c r="AB110" s="82"/>
      <c r="AC110" s="82"/>
      <c r="AD110" s="23"/>
      <c r="AE110" s="7" t="s">
        <v>397</v>
      </c>
      <c r="AH110" s="23">
        <f>SUM('2021 Detail'!J107:U107)+SUM('2021 Detail'!AA107:AC107)</f>
        <v>22788</v>
      </c>
      <c r="AJ110" s="23">
        <f t="shared" si="23"/>
        <v>0</v>
      </c>
      <c r="AL110" t="str">
        <f t="shared" si="24"/>
        <v>Same</v>
      </c>
      <c r="AQ110" s="23">
        <v>1899</v>
      </c>
    </row>
    <row r="111" spans="1:43" x14ac:dyDescent="0.2">
      <c r="A111" s="226" t="s">
        <v>95</v>
      </c>
      <c r="B111" s="9" t="s">
        <v>495</v>
      </c>
      <c r="C111" s="9" t="s">
        <v>495</v>
      </c>
      <c r="D111" s="9">
        <v>0</v>
      </c>
      <c r="E111" s="9"/>
      <c r="F111" s="9">
        <v>0</v>
      </c>
      <c r="G111" s="83">
        <v>12627</v>
      </c>
      <c r="H111" s="83">
        <f t="shared" si="20"/>
        <v>12627</v>
      </c>
      <c r="I111" s="133">
        <f t="shared" si="21"/>
        <v>1</v>
      </c>
      <c r="J111" s="82">
        <v>0</v>
      </c>
      <c r="K111" s="82"/>
      <c r="L111" s="82"/>
      <c r="M111" s="82"/>
      <c r="N111" s="82"/>
      <c r="O111" s="82"/>
      <c r="P111" s="82"/>
      <c r="Q111" s="82"/>
      <c r="R111" s="82"/>
      <c r="S111" s="23"/>
      <c r="T111" s="23">
        <v>9000</v>
      </c>
      <c r="U111" s="23">
        <v>3627</v>
      </c>
      <c r="V111" s="79" t="s">
        <v>574</v>
      </c>
      <c r="W111" s="82">
        <f t="shared" si="22"/>
        <v>0</v>
      </c>
      <c r="X111" s="79"/>
      <c r="Y111" s="4"/>
      <c r="Z111" s="4"/>
      <c r="AA111" s="82"/>
      <c r="AB111" s="82"/>
      <c r="AC111" s="82"/>
      <c r="AD111" s="23"/>
      <c r="AE111" s="7" t="s">
        <v>397</v>
      </c>
      <c r="AH111" s="23">
        <f>SUM('2021 Detail'!J108:U108)+SUM('2021 Detail'!AA108:AC108)</f>
        <v>4500</v>
      </c>
      <c r="AJ111" s="23">
        <f t="shared" si="23"/>
        <v>8127</v>
      </c>
      <c r="AL111" t="str">
        <f t="shared" si="24"/>
        <v>Up</v>
      </c>
      <c r="AQ111" s="23">
        <v>4500</v>
      </c>
    </row>
    <row r="112" spans="1:43" x14ac:dyDescent="0.2">
      <c r="A112" s="226" t="s">
        <v>96</v>
      </c>
      <c r="B112" s="9" t="s">
        <v>495</v>
      </c>
      <c r="C112" s="9" t="s">
        <v>495</v>
      </c>
      <c r="D112" s="9" t="s">
        <v>495</v>
      </c>
      <c r="E112" s="9"/>
      <c r="F112" s="9" t="s">
        <v>495</v>
      </c>
      <c r="G112" s="83">
        <v>12562</v>
      </c>
      <c r="H112" s="83">
        <f t="shared" si="20"/>
        <v>9421.5</v>
      </c>
      <c r="I112" s="133">
        <f t="shared" si="21"/>
        <v>0.75</v>
      </c>
      <c r="J112" s="82">
        <v>0</v>
      </c>
      <c r="K112" s="82"/>
      <c r="L112" s="82"/>
      <c r="M112" s="82"/>
      <c r="N112" s="82"/>
      <c r="O112" s="82"/>
      <c r="P112" s="82"/>
      <c r="Q112" s="82"/>
      <c r="R112" s="82">
        <v>6281</v>
      </c>
      <c r="S112" s="23"/>
      <c r="T112" s="23"/>
      <c r="U112" s="23">
        <v>3140.5</v>
      </c>
      <c r="V112" s="79" t="s">
        <v>575</v>
      </c>
      <c r="W112" s="82">
        <f t="shared" si="22"/>
        <v>3140.5</v>
      </c>
      <c r="X112" s="79"/>
      <c r="Y112" s="4"/>
      <c r="Z112" s="4"/>
      <c r="AA112" s="82"/>
      <c r="AB112" s="82"/>
      <c r="AC112" s="82"/>
      <c r="AD112" s="23"/>
      <c r="AE112" s="7" t="s">
        <v>395</v>
      </c>
      <c r="AH112" s="23">
        <f>SUM('2021 Detail'!J109:U109)+SUM('2021 Detail'!AA109:AC109)</f>
        <v>6281</v>
      </c>
      <c r="AJ112" s="23">
        <f t="shared" si="23"/>
        <v>3140.5</v>
      </c>
      <c r="AL112" t="str">
        <f t="shared" si="24"/>
        <v>Up</v>
      </c>
    </row>
    <row r="113" spans="1:43" x14ac:dyDescent="0.2">
      <c r="A113" s="226" t="s">
        <v>97</v>
      </c>
      <c r="B113" s="9">
        <v>0</v>
      </c>
      <c r="C113" s="9" t="s">
        <v>495</v>
      </c>
      <c r="D113" s="9">
        <v>0</v>
      </c>
      <c r="E113" s="9"/>
      <c r="F113" s="9">
        <v>0</v>
      </c>
      <c r="G113" s="83">
        <v>8128</v>
      </c>
      <c r="H113" s="83">
        <f t="shared" si="20"/>
        <v>8128</v>
      </c>
      <c r="I113" s="133">
        <f t="shared" si="21"/>
        <v>1</v>
      </c>
      <c r="J113" s="82">
        <v>300</v>
      </c>
      <c r="K113" s="82">
        <v>300</v>
      </c>
      <c r="L113" s="82">
        <v>300</v>
      </c>
      <c r="M113" s="82">
        <v>300</v>
      </c>
      <c r="N113" s="82">
        <v>300</v>
      </c>
      <c r="O113" s="82">
        <v>300</v>
      </c>
      <c r="P113" s="82">
        <v>300</v>
      </c>
      <c r="Q113" s="82">
        <v>300</v>
      </c>
      <c r="R113" s="82">
        <v>300</v>
      </c>
      <c r="S113" s="23">
        <v>300</v>
      </c>
      <c r="T113" s="23">
        <v>300</v>
      </c>
      <c r="U113" s="23">
        <v>4828</v>
      </c>
      <c r="V113" s="79" t="s">
        <v>576</v>
      </c>
      <c r="W113" s="82">
        <f t="shared" si="22"/>
        <v>0</v>
      </c>
      <c r="X113" s="79"/>
      <c r="Y113" s="4"/>
      <c r="Z113" s="4"/>
      <c r="AA113" s="82"/>
      <c r="AB113" s="82"/>
      <c r="AC113" s="82"/>
      <c r="AD113" s="23"/>
      <c r="AE113" s="7" t="s">
        <v>395</v>
      </c>
      <c r="AH113" s="23">
        <f>SUM('2021 Detail'!J110:U110)+SUM('2021 Detail'!AA110:AC110)</f>
        <v>8128</v>
      </c>
      <c r="AJ113" s="23">
        <f t="shared" si="23"/>
        <v>0</v>
      </c>
      <c r="AL113" t="str">
        <f t="shared" si="24"/>
        <v>Same</v>
      </c>
      <c r="AQ113" s="23">
        <v>4828</v>
      </c>
    </row>
    <row r="114" spans="1:43" x14ac:dyDescent="0.2">
      <c r="A114" s="226" t="s">
        <v>98</v>
      </c>
      <c r="B114" s="9" t="s">
        <v>495</v>
      </c>
      <c r="C114" s="9" t="s">
        <v>495</v>
      </c>
      <c r="D114" s="9" t="s">
        <v>495</v>
      </c>
      <c r="E114" s="9"/>
      <c r="F114" s="9" t="s">
        <v>495</v>
      </c>
      <c r="G114" s="83">
        <v>11161</v>
      </c>
      <c r="H114" s="83">
        <f t="shared" si="20"/>
        <v>0</v>
      </c>
      <c r="I114" s="133">
        <f t="shared" si="21"/>
        <v>0</v>
      </c>
      <c r="J114" s="82">
        <v>0</v>
      </c>
      <c r="K114" s="82"/>
      <c r="L114" s="82"/>
      <c r="M114" s="82"/>
      <c r="N114" s="82"/>
      <c r="O114" s="82"/>
      <c r="P114" s="82"/>
      <c r="Q114" s="82"/>
      <c r="R114" s="82"/>
      <c r="S114" s="23"/>
      <c r="T114" s="23"/>
      <c r="U114" s="23"/>
      <c r="V114" s="79" t="s">
        <v>577</v>
      </c>
      <c r="W114" s="82">
        <f t="shared" si="22"/>
        <v>11161</v>
      </c>
      <c r="X114" s="79"/>
      <c r="Y114" s="4"/>
      <c r="Z114" s="4"/>
      <c r="AA114" s="82"/>
      <c r="AB114" s="82"/>
      <c r="AC114" s="82"/>
      <c r="AD114" s="23"/>
      <c r="AE114" s="7" t="s">
        <v>1201</v>
      </c>
      <c r="AH114" s="23">
        <f>SUM('2021 Detail'!J111:U111)+SUM('2021 Detail'!AA111:AC111)</f>
        <v>1860</v>
      </c>
      <c r="AJ114" s="23">
        <f t="shared" si="23"/>
        <v>-1860</v>
      </c>
      <c r="AL114" t="str">
        <f t="shared" si="24"/>
        <v>Down</v>
      </c>
    </row>
    <row r="115" spans="1:43" x14ac:dyDescent="0.2">
      <c r="A115" s="226" t="s">
        <v>99</v>
      </c>
      <c r="B115" s="9" t="s">
        <v>495</v>
      </c>
      <c r="C115" s="9" t="s">
        <v>495</v>
      </c>
      <c r="D115" s="9" t="s">
        <v>495</v>
      </c>
      <c r="E115" s="9"/>
      <c r="F115" s="9" t="s">
        <v>495</v>
      </c>
      <c r="G115" s="83">
        <v>8024</v>
      </c>
      <c r="H115" s="83">
        <f t="shared" si="20"/>
        <v>3000</v>
      </c>
      <c r="I115" s="133">
        <f t="shared" si="21"/>
        <v>0.37390000000000001</v>
      </c>
      <c r="J115" s="82">
        <v>0</v>
      </c>
      <c r="K115" s="82"/>
      <c r="L115" s="82"/>
      <c r="M115" s="82"/>
      <c r="N115" s="82">
        <v>1000</v>
      </c>
      <c r="O115" s="82"/>
      <c r="P115" s="82"/>
      <c r="Q115" s="82"/>
      <c r="R115" s="82"/>
      <c r="S115" s="23"/>
      <c r="T115" s="23">
        <v>2000</v>
      </c>
      <c r="U115" s="23"/>
      <c r="V115" s="79" t="s">
        <v>578</v>
      </c>
      <c r="W115" s="82">
        <f t="shared" si="22"/>
        <v>5024</v>
      </c>
      <c r="X115" s="79"/>
      <c r="Y115" s="4"/>
      <c r="Z115" s="4"/>
      <c r="AA115" s="82"/>
      <c r="AB115" s="82"/>
      <c r="AC115" s="82"/>
      <c r="AD115" s="23"/>
      <c r="AE115" s="7" t="s">
        <v>1201</v>
      </c>
      <c r="AH115" s="23">
        <f>SUM('2021 Detail'!J112:U112)+SUM('2021 Detail'!AA112:AC112)</f>
        <v>2006</v>
      </c>
      <c r="AJ115" s="23">
        <f t="shared" si="23"/>
        <v>994</v>
      </c>
      <c r="AL115" t="str">
        <f t="shared" si="24"/>
        <v>Up</v>
      </c>
    </row>
    <row r="116" spans="1:43" x14ac:dyDescent="0.2">
      <c r="A116" s="226" t="s">
        <v>100</v>
      </c>
      <c r="B116" s="9" t="s">
        <v>495</v>
      </c>
      <c r="C116" s="9" t="s">
        <v>495</v>
      </c>
      <c r="D116" s="9">
        <v>0</v>
      </c>
      <c r="E116" s="9"/>
      <c r="F116" s="9" t="s">
        <v>495</v>
      </c>
      <c r="G116" s="83">
        <v>4054</v>
      </c>
      <c r="H116" s="83">
        <f t="shared" si="20"/>
        <v>4053.9999999999995</v>
      </c>
      <c r="I116" s="133">
        <f t="shared" si="21"/>
        <v>1</v>
      </c>
      <c r="J116" s="82">
        <v>337.87</v>
      </c>
      <c r="K116" s="82">
        <v>337.83</v>
      </c>
      <c r="L116" s="82">
        <v>337.83</v>
      </c>
      <c r="M116" s="82">
        <v>337.83</v>
      </c>
      <c r="N116" s="82">
        <v>337.83</v>
      </c>
      <c r="O116" s="82">
        <v>337.83</v>
      </c>
      <c r="P116" s="82">
        <v>337.83</v>
      </c>
      <c r="Q116" s="82">
        <v>337.83</v>
      </c>
      <c r="R116" s="82">
        <v>337.83</v>
      </c>
      <c r="S116" s="23">
        <v>337.83</v>
      </c>
      <c r="T116" s="23">
        <v>337.83</v>
      </c>
      <c r="U116" s="23">
        <v>337.83</v>
      </c>
      <c r="V116" s="79" t="s">
        <v>579</v>
      </c>
      <c r="W116" s="82">
        <f t="shared" si="22"/>
        <v>0</v>
      </c>
      <c r="X116" s="79"/>
      <c r="Y116" s="4"/>
      <c r="Z116" s="4"/>
      <c r="AA116" s="82"/>
      <c r="AB116" s="82"/>
      <c r="AC116" s="82"/>
      <c r="AD116" s="23"/>
      <c r="AE116" s="7" t="s">
        <v>1201</v>
      </c>
      <c r="AH116" s="23">
        <f>SUM('2021 Detail'!J113:U113)+SUM('2021 Detail'!AA113:AC113)</f>
        <v>4053.9999999999995</v>
      </c>
      <c r="AJ116" s="23">
        <f t="shared" si="23"/>
        <v>0</v>
      </c>
      <c r="AL116" t="str">
        <f t="shared" si="24"/>
        <v>Same</v>
      </c>
      <c r="AQ116" s="23">
        <v>337.83</v>
      </c>
    </row>
    <row r="117" spans="1:43" x14ac:dyDescent="0.2">
      <c r="A117" s="226" t="s">
        <v>101</v>
      </c>
      <c r="B117" s="9" t="s">
        <v>495</v>
      </c>
      <c r="C117" s="9">
        <v>0</v>
      </c>
      <c r="D117" s="9">
        <v>0</v>
      </c>
      <c r="E117" s="9"/>
      <c r="F117" s="9">
        <v>0</v>
      </c>
      <c r="G117" s="83">
        <v>13666</v>
      </c>
      <c r="H117" s="83">
        <f t="shared" si="20"/>
        <v>13666</v>
      </c>
      <c r="I117" s="133">
        <f t="shared" si="21"/>
        <v>1</v>
      </c>
      <c r="J117" s="82">
        <v>1138.8699999999999</v>
      </c>
      <c r="K117" s="82">
        <v>1138.83</v>
      </c>
      <c r="L117" s="82">
        <v>1138.83</v>
      </c>
      <c r="M117" s="82">
        <v>1138.83</v>
      </c>
      <c r="N117" s="82">
        <v>1138.83</v>
      </c>
      <c r="O117" s="82">
        <v>1138.83</v>
      </c>
      <c r="P117" s="82">
        <v>1138.83</v>
      </c>
      <c r="Q117" s="82">
        <v>1138.83</v>
      </c>
      <c r="R117" s="82">
        <v>1138.83</v>
      </c>
      <c r="S117" s="23">
        <v>1138.83</v>
      </c>
      <c r="T117" s="23">
        <v>1138.83</v>
      </c>
      <c r="U117" s="23">
        <v>1138.83</v>
      </c>
      <c r="V117" s="79" t="s">
        <v>580</v>
      </c>
      <c r="W117" s="82">
        <f t="shared" si="22"/>
        <v>0</v>
      </c>
      <c r="X117" s="79"/>
      <c r="Y117" s="4"/>
      <c r="Z117" s="4"/>
      <c r="AA117" s="82"/>
      <c r="AB117" s="82"/>
      <c r="AC117" s="82"/>
      <c r="AD117" s="23"/>
      <c r="AE117" s="7" t="s">
        <v>398</v>
      </c>
      <c r="AH117" s="23">
        <f>SUM('2021 Detail'!J114:U114)+SUM('2021 Detail'!AA114:AC114)</f>
        <v>13600</v>
      </c>
      <c r="AJ117" s="23">
        <f t="shared" si="23"/>
        <v>66</v>
      </c>
      <c r="AL117" t="str">
        <f t="shared" si="24"/>
        <v>Up</v>
      </c>
      <c r="AQ117" s="23">
        <v>1700</v>
      </c>
    </row>
    <row r="118" spans="1:43" x14ac:dyDescent="0.2">
      <c r="A118" s="226" t="s">
        <v>102</v>
      </c>
      <c r="B118" s="9" t="s">
        <v>495</v>
      </c>
      <c r="C118" s="9" t="s">
        <v>495</v>
      </c>
      <c r="D118" s="9">
        <v>0</v>
      </c>
      <c r="E118" s="9"/>
      <c r="F118" s="9">
        <v>0</v>
      </c>
      <c r="G118" s="83">
        <v>6833</v>
      </c>
      <c r="H118" s="83">
        <f t="shared" si="20"/>
        <v>6832.92</v>
      </c>
      <c r="I118" s="133">
        <f t="shared" si="21"/>
        <v>1</v>
      </c>
      <c r="J118" s="82">
        <v>0</v>
      </c>
      <c r="K118" s="82"/>
      <c r="L118" s="82"/>
      <c r="M118" s="82"/>
      <c r="N118" s="82">
        <v>1708.23</v>
      </c>
      <c r="O118" s="82">
        <v>1708.23</v>
      </c>
      <c r="P118" s="82"/>
      <c r="Q118" s="82"/>
      <c r="R118" s="82"/>
      <c r="S118" s="23">
        <v>1708.23</v>
      </c>
      <c r="T118" s="23"/>
      <c r="U118" s="23"/>
      <c r="V118" s="79" t="s">
        <v>581</v>
      </c>
      <c r="W118" s="82">
        <f t="shared" si="22"/>
        <v>7.999999999992724E-2</v>
      </c>
      <c r="X118" s="79"/>
      <c r="Y118" s="4"/>
      <c r="Z118" s="4"/>
      <c r="AA118" s="82">
        <v>1708.23</v>
      </c>
      <c r="AB118" s="82"/>
      <c r="AC118" s="82"/>
      <c r="AD118" s="23"/>
      <c r="AE118" s="7" t="s">
        <v>398</v>
      </c>
      <c r="AH118" s="23">
        <f>SUM('2021 Detail'!J115:U115)+SUM('2021 Detail'!AA115:AC115)</f>
        <v>6833</v>
      </c>
      <c r="AJ118" s="23">
        <f t="shared" si="23"/>
        <v>-7.999999999992724E-2</v>
      </c>
      <c r="AL118" t="str">
        <f t="shared" si="24"/>
        <v>Down</v>
      </c>
      <c r="AQ118" s="23">
        <v>6833</v>
      </c>
    </row>
    <row r="119" spans="1:43" x14ac:dyDescent="0.2">
      <c r="A119" s="226" t="s">
        <v>103</v>
      </c>
      <c r="B119" s="9" t="s">
        <v>495</v>
      </c>
      <c r="C119" s="9">
        <v>0</v>
      </c>
      <c r="D119" s="9" t="s">
        <v>495</v>
      </c>
      <c r="E119" s="9"/>
      <c r="F119" s="9">
        <v>0</v>
      </c>
      <c r="G119" s="83">
        <v>22773</v>
      </c>
      <c r="H119" s="83">
        <f t="shared" si="20"/>
        <v>20700</v>
      </c>
      <c r="I119" s="133">
        <f t="shared" si="21"/>
        <v>0.90900000000000003</v>
      </c>
      <c r="J119" s="82">
        <v>0</v>
      </c>
      <c r="K119" s="82"/>
      <c r="L119" s="82"/>
      <c r="M119" s="82"/>
      <c r="N119" s="82">
        <v>4400</v>
      </c>
      <c r="O119" s="82"/>
      <c r="P119" s="82"/>
      <c r="Q119" s="82"/>
      <c r="R119" s="82"/>
      <c r="S119" s="23">
        <v>8500</v>
      </c>
      <c r="T119" s="23">
        <v>2000</v>
      </c>
      <c r="U119" s="23">
        <v>5100</v>
      </c>
      <c r="V119" s="79" t="s">
        <v>582</v>
      </c>
      <c r="W119" s="82">
        <f t="shared" si="22"/>
        <v>2073</v>
      </c>
      <c r="X119" s="79"/>
      <c r="Y119" s="4"/>
      <c r="Z119" s="4"/>
      <c r="AA119" s="82"/>
      <c r="AB119" s="82">
        <v>700</v>
      </c>
      <c r="AC119" s="82"/>
      <c r="AD119" s="23"/>
      <c r="AE119" s="7" t="s">
        <v>1199</v>
      </c>
      <c r="AH119" s="23">
        <f>SUM('2021 Detail'!J116:U116)+SUM('2021 Detail'!AA116:AC116)</f>
        <v>16136.5</v>
      </c>
      <c r="AJ119" s="23">
        <f t="shared" si="23"/>
        <v>4563.5</v>
      </c>
      <c r="AL119" t="str">
        <f t="shared" si="24"/>
        <v>Up</v>
      </c>
      <c r="AQ119" s="23">
        <v>4750</v>
      </c>
    </row>
    <row r="120" spans="1:43" x14ac:dyDescent="0.2">
      <c r="A120" s="226" t="s">
        <v>104</v>
      </c>
      <c r="B120" s="9" t="s">
        <v>495</v>
      </c>
      <c r="C120" s="9" t="s">
        <v>495</v>
      </c>
      <c r="D120" s="9">
        <v>0</v>
      </c>
      <c r="E120" s="9"/>
      <c r="F120" s="9">
        <v>0</v>
      </c>
      <c r="G120" s="83">
        <v>5000</v>
      </c>
      <c r="H120" s="83">
        <f t="shared" si="20"/>
        <v>5000</v>
      </c>
      <c r="I120" s="133">
        <f t="shared" si="21"/>
        <v>1</v>
      </c>
      <c r="J120" s="82">
        <v>0</v>
      </c>
      <c r="K120" s="82">
        <v>417</v>
      </c>
      <c r="L120" s="82">
        <v>834</v>
      </c>
      <c r="M120" s="82">
        <v>417</v>
      </c>
      <c r="N120" s="82">
        <v>417</v>
      </c>
      <c r="O120" s="82"/>
      <c r="P120" s="82">
        <v>834</v>
      </c>
      <c r="Q120" s="82">
        <v>417</v>
      </c>
      <c r="R120" s="82"/>
      <c r="S120" s="23">
        <v>1251</v>
      </c>
      <c r="T120" s="23">
        <v>413</v>
      </c>
      <c r="U120" s="23"/>
      <c r="V120" s="79" t="s">
        <v>583</v>
      </c>
      <c r="W120" s="82">
        <f t="shared" si="22"/>
        <v>0</v>
      </c>
      <c r="X120" s="79"/>
      <c r="Y120" s="4"/>
      <c r="Z120" s="4"/>
      <c r="AA120" s="82"/>
      <c r="AB120" s="82"/>
      <c r="AC120" s="82"/>
      <c r="AD120" s="23"/>
      <c r="AE120" s="7" t="s">
        <v>1199</v>
      </c>
      <c r="AH120" s="23">
        <f>SUM('2021 Detail'!J117:U117)+SUM('2021 Detail'!AA117:AC117)</f>
        <v>4565</v>
      </c>
      <c r="AJ120" s="23">
        <f t="shared" si="23"/>
        <v>435</v>
      </c>
      <c r="AL120" t="str">
        <f t="shared" si="24"/>
        <v>Up</v>
      </c>
      <c r="AQ120" s="23">
        <v>830</v>
      </c>
    </row>
    <row r="121" spans="1:43" x14ac:dyDescent="0.2">
      <c r="G121" s="83"/>
      <c r="I121" s="133"/>
      <c r="X121" s="79"/>
      <c r="Y121" s="4"/>
      <c r="Z121" s="4"/>
      <c r="AA121" s="82"/>
      <c r="AB121" s="82"/>
      <c r="AC121" s="82"/>
      <c r="AD121" s="23"/>
      <c r="AJ121" s="23"/>
    </row>
    <row r="122" spans="1:43" x14ac:dyDescent="0.2">
      <c r="A122" s="226" t="s">
        <v>1142</v>
      </c>
      <c r="G122" s="83">
        <f>SUM(G96:G121)</f>
        <v>432076</v>
      </c>
      <c r="H122" s="83">
        <f>SUM(H96:H121)</f>
        <v>355195.37</v>
      </c>
      <c r="I122" s="133">
        <f t="shared" ref="I122:I123" si="25">ROUND((H122/G122),4)</f>
        <v>0.82210000000000005</v>
      </c>
      <c r="J122" s="83">
        <f t="shared" ref="J122:U122" si="26">SUM(J96:J121)</f>
        <v>16597.02</v>
      </c>
      <c r="K122" s="83">
        <f t="shared" si="26"/>
        <v>17763.879999999997</v>
      </c>
      <c r="L122" s="83">
        <f t="shared" si="26"/>
        <v>29972.720000000001</v>
      </c>
      <c r="M122" s="83">
        <f t="shared" si="26"/>
        <v>24809.370000000003</v>
      </c>
      <c r="N122" s="83">
        <f t="shared" si="26"/>
        <v>29999.100000000002</v>
      </c>
      <c r="O122" s="83">
        <f t="shared" si="26"/>
        <v>23555.100000000002</v>
      </c>
      <c r="P122" s="83">
        <f t="shared" si="26"/>
        <v>17430.87</v>
      </c>
      <c r="Q122" s="83">
        <f t="shared" si="26"/>
        <v>28550.870000000003</v>
      </c>
      <c r="R122" s="83">
        <f t="shared" si="26"/>
        <v>29394.870000000003</v>
      </c>
      <c r="S122" s="4">
        <f t="shared" si="26"/>
        <v>32023.850000000002</v>
      </c>
      <c r="T122" s="4">
        <f t="shared" si="26"/>
        <v>35799.32</v>
      </c>
      <c r="U122" s="4">
        <f t="shared" si="26"/>
        <v>59810.170000000006</v>
      </c>
      <c r="V122" s="77"/>
      <c r="W122" s="82">
        <f>SUM(W96:W121)</f>
        <v>76880.63</v>
      </c>
      <c r="X122" s="79"/>
      <c r="Y122" s="4"/>
      <c r="Z122" s="4"/>
      <c r="AA122" s="83">
        <f>SUM(AA96:AA121)</f>
        <v>3091.23</v>
      </c>
      <c r="AB122" s="83">
        <f>SUM(AB96:AB121)</f>
        <v>6397</v>
      </c>
      <c r="AC122" s="83">
        <f>SUM(AC96:AC121)</f>
        <v>0</v>
      </c>
      <c r="AD122" s="4"/>
      <c r="AH122" s="23">
        <f>SUM(AH96:AH121)</f>
        <v>330736.88</v>
      </c>
      <c r="AJ122" s="23">
        <f t="shared" si="23"/>
        <v>24458.489999999991</v>
      </c>
      <c r="AM122" s="11">
        <f>SUM(J122:R122)+SUM(S123:U123)+SUM('2020 detail'!AA118:AC118)</f>
        <v>328143.21999999997</v>
      </c>
      <c r="AN122" s="24">
        <f>ROUND((AM122/G122),4)</f>
        <v>0.75949999999999995</v>
      </c>
      <c r="AO122" s="24">
        <f>ROUND((SUM(J123:U123)/G123),4)</f>
        <v>0.76549999999999996</v>
      </c>
      <c r="AQ122" s="23">
        <f>SUM(AQ96:AQ121)</f>
        <v>55062.37</v>
      </c>
    </row>
    <row r="123" spans="1:43" x14ac:dyDescent="0.2">
      <c r="A123" s="253" t="s">
        <v>1056</v>
      </c>
      <c r="G123" s="206">
        <f>'2021 Detail'!G119</f>
        <v>432074</v>
      </c>
      <c r="H123" s="206">
        <f>SUM(J123:U123)+SUM(AA123:AC123)</f>
        <v>330736.88</v>
      </c>
      <c r="I123" s="207">
        <f t="shared" si="25"/>
        <v>0.76549999999999996</v>
      </c>
      <c r="J123" s="206">
        <f>'2021 Detail'!J119</f>
        <v>13472.95</v>
      </c>
      <c r="K123" s="206">
        <f>'2021 Detail'!K119</f>
        <v>30003.25</v>
      </c>
      <c r="L123" s="206">
        <f>'2021 Detail'!L119</f>
        <v>16928.7</v>
      </c>
      <c r="M123" s="206">
        <f>'2021 Detail'!M119</f>
        <v>35035.160000000003</v>
      </c>
      <c r="N123" s="206">
        <f>'2021 Detail'!N119</f>
        <v>20802.810000000001</v>
      </c>
      <c r="O123" s="206">
        <f>'2021 Detail'!O119</f>
        <v>11383.81</v>
      </c>
      <c r="P123" s="206">
        <f>'2021 Detail'!P119</f>
        <v>36673.31</v>
      </c>
      <c r="Q123" s="206">
        <f>'2021 Detail'!Q119</f>
        <v>23696.66</v>
      </c>
      <c r="R123" s="206">
        <f>'2021 Detail'!R119</f>
        <v>32670.809999999998</v>
      </c>
      <c r="S123" s="206">
        <f>'2021 Detail'!S119</f>
        <v>29930.66</v>
      </c>
      <c r="T123" s="206">
        <f>'2021 Detail'!T119</f>
        <v>25076.39</v>
      </c>
      <c r="U123" s="206">
        <f>'2021 Detail'!U119</f>
        <v>55062.37</v>
      </c>
      <c r="V123" s="206"/>
      <c r="W123" s="206"/>
      <c r="X123" s="206"/>
      <c r="Y123" s="4"/>
      <c r="Z123" s="4"/>
      <c r="AA123" s="206">
        <f>'2021 Detail'!AA119</f>
        <v>0</v>
      </c>
      <c r="AB123" s="206">
        <f>'2021 Detail'!AB119</f>
        <v>0</v>
      </c>
      <c r="AC123" s="206">
        <f>'2021 Detail'!AC119</f>
        <v>0</v>
      </c>
      <c r="AD123" s="23"/>
      <c r="AJ123" s="23"/>
    </row>
    <row r="124" spans="1:43" x14ac:dyDescent="0.2">
      <c r="X124" s="79"/>
      <c r="Y124" s="4"/>
      <c r="Z124" s="4"/>
      <c r="AJ124" s="23"/>
    </row>
    <row r="125" spans="1:43" x14ac:dyDescent="0.2">
      <c r="A125" s="226" t="str">
        <f t="shared" ref="A125:U125" si="27">A$510</f>
        <v>Diocesan Total 2022</v>
      </c>
      <c r="B125" s="226">
        <f t="shared" si="27"/>
        <v>0</v>
      </c>
      <c r="C125" s="226">
        <f t="shared" si="27"/>
        <v>0</v>
      </c>
      <c r="D125" s="258">
        <f t="shared" si="27"/>
        <v>0</v>
      </c>
      <c r="E125" s="226">
        <f t="shared" si="27"/>
        <v>0</v>
      </c>
      <c r="F125" s="226">
        <f t="shared" si="27"/>
        <v>0</v>
      </c>
      <c r="G125" s="83">
        <f t="shared" si="27"/>
        <v>8116012</v>
      </c>
      <c r="H125" s="83">
        <f t="shared" si="27"/>
        <v>6559276.3399999999</v>
      </c>
      <c r="I125" s="133">
        <f t="shared" si="27"/>
        <v>0.80820000000000003</v>
      </c>
      <c r="J125" s="83">
        <f t="shared" si="27"/>
        <v>378351.23</v>
      </c>
      <c r="K125" s="83">
        <f t="shared" si="27"/>
        <v>449442.02</v>
      </c>
      <c r="L125" s="83">
        <f t="shared" si="27"/>
        <v>517036.34</v>
      </c>
      <c r="M125" s="83">
        <f t="shared" si="27"/>
        <v>434875.54000000004</v>
      </c>
      <c r="N125" s="83">
        <f t="shared" si="27"/>
        <v>497786.23</v>
      </c>
      <c r="O125" s="83">
        <f t="shared" si="27"/>
        <v>599586.94000000006</v>
      </c>
      <c r="P125" s="83">
        <f t="shared" si="27"/>
        <v>498701.35</v>
      </c>
      <c r="Q125" s="83">
        <f t="shared" si="27"/>
        <v>538018.41999999993</v>
      </c>
      <c r="R125" s="83">
        <f t="shared" si="27"/>
        <v>551902.79</v>
      </c>
      <c r="S125" s="4">
        <f t="shared" si="27"/>
        <v>564217.18000000005</v>
      </c>
      <c r="T125" s="4">
        <f t="shared" si="27"/>
        <v>645999.05000000005</v>
      </c>
      <c r="U125" s="4">
        <f t="shared" si="27"/>
        <v>736614.44</v>
      </c>
      <c r="V125" s="77"/>
      <c r="W125" s="82"/>
      <c r="X125" s="4"/>
      <c r="Y125" s="4"/>
      <c r="Z125" s="4"/>
      <c r="AA125" s="83"/>
      <c r="AB125" s="83"/>
      <c r="AC125" s="83"/>
      <c r="AD125" s="4"/>
      <c r="AH125" s="23">
        <f>AH$510</f>
        <v>6587993.7699999996</v>
      </c>
      <c r="AJ125" s="23">
        <f>AJ$510</f>
        <v>-28717.429999999702</v>
      </c>
    </row>
    <row r="126" spans="1:43" x14ac:dyDescent="0.2">
      <c r="A126" s="253" t="str">
        <f t="shared" ref="A126:U126" si="28">A$511</f>
        <v>Diocesan Total 2021</v>
      </c>
      <c r="B126" s="253">
        <f t="shared" si="28"/>
        <v>0</v>
      </c>
      <c r="C126" s="253">
        <f t="shared" si="28"/>
        <v>0</v>
      </c>
      <c r="D126" s="259">
        <f t="shared" si="28"/>
        <v>0</v>
      </c>
      <c r="E126" s="253">
        <f t="shared" si="28"/>
        <v>0</v>
      </c>
      <c r="F126" s="253">
        <f t="shared" si="28"/>
        <v>0</v>
      </c>
      <c r="G126" s="206">
        <f t="shared" si="28"/>
        <v>8132853</v>
      </c>
      <c r="H126" s="206">
        <f t="shared" si="28"/>
        <v>6587993.7700000005</v>
      </c>
      <c r="I126" s="207">
        <f t="shared" si="28"/>
        <v>0.81</v>
      </c>
      <c r="J126" s="206">
        <f t="shared" si="28"/>
        <v>340336.86</v>
      </c>
      <c r="K126" s="206">
        <f t="shared" si="28"/>
        <v>407387.73</v>
      </c>
      <c r="L126" s="206">
        <f t="shared" si="28"/>
        <v>497955.59</v>
      </c>
      <c r="M126" s="206">
        <f t="shared" si="28"/>
        <v>513800.89999999997</v>
      </c>
      <c r="N126" s="206">
        <f t="shared" si="28"/>
        <v>483760.16000000003</v>
      </c>
      <c r="O126" s="206">
        <f t="shared" si="28"/>
        <v>527451.71000000008</v>
      </c>
      <c r="P126" s="206">
        <f t="shared" si="28"/>
        <v>582882.6100000001</v>
      </c>
      <c r="Q126" s="206">
        <f t="shared" si="28"/>
        <v>489302.35</v>
      </c>
      <c r="R126" s="206">
        <f t="shared" si="28"/>
        <v>548459.72</v>
      </c>
      <c r="S126" s="206">
        <f t="shared" si="28"/>
        <v>527708.16999999993</v>
      </c>
      <c r="T126" s="206">
        <f t="shared" si="28"/>
        <v>616975.80999999994</v>
      </c>
      <c r="U126" s="206">
        <f t="shared" si="28"/>
        <v>907302.59</v>
      </c>
      <c r="V126" s="206"/>
      <c r="W126" s="206"/>
      <c r="X126" s="206"/>
      <c r="Y126" s="4"/>
      <c r="Z126" s="4"/>
      <c r="AA126" s="206"/>
      <c r="AB126" s="206"/>
      <c r="AC126" s="206"/>
      <c r="AJ126" s="23"/>
    </row>
    <row r="127" spans="1:43" ht="15.75" x14ac:dyDescent="0.25">
      <c r="G127" s="196" t="s">
        <v>9</v>
      </c>
      <c r="X127" s="79"/>
      <c r="Y127" s="4"/>
      <c r="Z127" s="4"/>
      <c r="AH127" s="171" t="s">
        <v>1136</v>
      </c>
      <c r="AI127" s="172"/>
      <c r="AJ127" s="171" t="s">
        <v>1064</v>
      </c>
    </row>
    <row r="128" spans="1:43" x14ac:dyDescent="0.2">
      <c r="X128" s="79"/>
      <c r="Y128" s="4"/>
      <c r="Z128" s="4"/>
      <c r="AH128" s="171" t="s">
        <v>1137</v>
      </c>
      <c r="AI128" s="172"/>
      <c r="AJ128" s="171" t="s">
        <v>1138</v>
      </c>
    </row>
    <row r="129" spans="1:43" ht="16.5" x14ac:dyDescent="0.25">
      <c r="A129" s="250"/>
      <c r="B129" s="8"/>
      <c r="C129" s="8"/>
      <c r="E129" s="8"/>
      <c r="F129" s="8"/>
      <c r="G129" s="208" t="str">
        <f>$G$3</f>
        <v>2022 PARISH SHARE INFORMATION AS AT 31 DECEMBER 2022</v>
      </c>
      <c r="H129" s="209"/>
      <c r="W129" s="194"/>
      <c r="X129"/>
      <c r="Y129" s="4"/>
      <c r="Z129" s="4"/>
      <c r="AA129"/>
      <c r="AB129"/>
      <c r="AC129"/>
      <c r="AH129" s="172"/>
      <c r="AI129" s="172"/>
      <c r="AJ129" s="171" t="s">
        <v>1139</v>
      </c>
    </row>
    <row r="130" spans="1:43" x14ac:dyDescent="0.2">
      <c r="A130" s="250"/>
      <c r="G130" s="205"/>
      <c r="H130" s="197"/>
      <c r="W130" s="194"/>
      <c r="X130"/>
      <c r="Y130" s="4"/>
      <c r="Z130" s="4"/>
      <c r="AA130"/>
      <c r="AB130"/>
      <c r="AC130"/>
    </row>
    <row r="131" spans="1:43" ht="16.5" x14ac:dyDescent="0.25">
      <c r="A131" s="251" t="s">
        <v>1</v>
      </c>
      <c r="B131" s="151" t="str">
        <f>$B$5</f>
        <v>RM</v>
      </c>
      <c r="C131" s="151" t="str">
        <f>$C$5</f>
        <v>RF</v>
      </c>
      <c r="D131" s="151" t="str">
        <f>$D$5</f>
        <v>Accts</v>
      </c>
      <c r="E131" s="151"/>
      <c r="F131" s="151" t="str">
        <f>$F$5</f>
        <v>Share DD</v>
      </c>
      <c r="G131" s="210" t="str">
        <f>$G$5</f>
        <v xml:space="preserve">2022 Share </v>
      </c>
      <c r="H131" s="211" t="str">
        <f>$H$5</f>
        <v xml:space="preserve">2022 Paid </v>
      </c>
      <c r="I131" s="211" t="str">
        <f>$I$5</f>
        <v xml:space="preserve">% Paid </v>
      </c>
      <c r="J131" s="212">
        <f>$J$5</f>
        <v>44592</v>
      </c>
      <c r="K131" s="212">
        <f>$K$5</f>
        <v>44620</v>
      </c>
      <c r="L131" s="212">
        <f>$L$5</f>
        <v>44651</v>
      </c>
      <c r="M131" s="212">
        <f>$M$5</f>
        <v>44681</v>
      </c>
      <c r="N131" s="212">
        <f>$N$5</f>
        <v>44712</v>
      </c>
      <c r="O131" s="212">
        <f>$O$5</f>
        <v>44742</v>
      </c>
      <c r="P131" s="212">
        <f>$P$5</f>
        <v>44773</v>
      </c>
      <c r="Q131" s="212">
        <f>$Q$5</f>
        <v>44804</v>
      </c>
      <c r="R131" s="212">
        <f>$R$5</f>
        <v>44834</v>
      </c>
      <c r="S131" s="155">
        <f>$S$5</f>
        <v>44865</v>
      </c>
      <c r="T131" s="155">
        <f>$T$5</f>
        <v>44895</v>
      </c>
      <c r="U131" s="155">
        <f>$U$5</f>
        <v>44926</v>
      </c>
      <c r="V131" s="78"/>
      <c r="W131" s="195" t="str">
        <f>$W$5</f>
        <v xml:space="preserve">Outstanding </v>
      </c>
      <c r="X131" s="2"/>
      <c r="Y131" s="4"/>
      <c r="Z131" s="4"/>
      <c r="AA131" s="2">
        <f>$AA$5</f>
        <v>44957</v>
      </c>
      <c r="AB131" s="2">
        <f>$AB$5</f>
        <v>44985</v>
      </c>
      <c r="AC131" s="2">
        <f>$AC$5</f>
        <v>45016</v>
      </c>
      <c r="AE131" s="152" t="str">
        <f>$AE$5</f>
        <v>Benefice</v>
      </c>
      <c r="AH131" s="16" t="s">
        <v>1141</v>
      </c>
      <c r="AJ131" s="170" t="s">
        <v>1140</v>
      </c>
      <c r="AQ131" s="222">
        <f>AQ5</f>
        <v>44588</v>
      </c>
    </row>
    <row r="132" spans="1:43" ht="16.5" x14ac:dyDescent="0.25">
      <c r="A132" s="250"/>
      <c r="G132" s="201" t="s">
        <v>1040</v>
      </c>
      <c r="H132" s="202" t="s">
        <v>1040</v>
      </c>
      <c r="I132" s="203"/>
      <c r="J132" s="202" t="s">
        <v>1040</v>
      </c>
      <c r="K132" s="202" t="s">
        <v>1040</v>
      </c>
      <c r="L132" s="202" t="s">
        <v>1040</v>
      </c>
      <c r="M132" s="202" t="s">
        <v>1040</v>
      </c>
      <c r="N132" s="202" t="s">
        <v>1040</v>
      </c>
      <c r="O132" s="202" t="s">
        <v>1040</v>
      </c>
      <c r="P132" s="202" t="s">
        <v>1040</v>
      </c>
      <c r="Q132" s="202" t="s">
        <v>1040</v>
      </c>
      <c r="R132" s="202" t="s">
        <v>1040</v>
      </c>
      <c r="S132" s="147" t="s">
        <v>1040</v>
      </c>
      <c r="T132" s="147" t="s">
        <v>1040</v>
      </c>
      <c r="U132" s="147" t="s">
        <v>1040</v>
      </c>
      <c r="W132" s="194"/>
      <c r="X132"/>
      <c r="Y132" s="4"/>
      <c r="Z132" s="4"/>
      <c r="AA132"/>
      <c r="AB132"/>
      <c r="AC132"/>
      <c r="AJ132" s="23"/>
    </row>
    <row r="133" spans="1:43" x14ac:dyDescent="0.2">
      <c r="X133" s="79"/>
      <c r="Y133" s="4"/>
      <c r="Z133" s="4"/>
      <c r="AJ133" s="23"/>
    </row>
    <row r="134" spans="1:43" x14ac:dyDescent="0.2">
      <c r="A134" s="226" t="s">
        <v>105</v>
      </c>
      <c r="B134" s="9" t="s">
        <v>495</v>
      </c>
      <c r="C134" s="9" t="s">
        <v>495</v>
      </c>
      <c r="D134" s="9">
        <v>0</v>
      </c>
      <c r="E134" s="9"/>
      <c r="F134" s="9">
        <v>0</v>
      </c>
      <c r="G134" s="83">
        <v>75524</v>
      </c>
      <c r="H134" s="83">
        <f t="shared" ref="H134:H160" si="29">SUM(J134:U134)+SUM(AA134:AC134)</f>
        <v>75522.960000000006</v>
      </c>
      <c r="I134" s="133">
        <f t="shared" ref="I134:I160" si="30">ROUND((H134/G134),4)</f>
        <v>1</v>
      </c>
      <c r="J134" s="82">
        <v>0</v>
      </c>
      <c r="K134" s="82">
        <v>12587.16</v>
      </c>
      <c r="L134" s="82">
        <v>6293.58</v>
      </c>
      <c r="M134" s="82">
        <v>6293.58</v>
      </c>
      <c r="N134" s="82">
        <v>6293.58</v>
      </c>
      <c r="O134" s="82">
        <v>6293.58</v>
      </c>
      <c r="P134" s="82">
        <v>6293.58</v>
      </c>
      <c r="Q134" s="82">
        <v>6293.58</v>
      </c>
      <c r="R134" s="82"/>
      <c r="S134" s="23">
        <v>12587.16</v>
      </c>
      <c r="T134" s="23">
        <v>6293.58</v>
      </c>
      <c r="U134" s="23">
        <v>6293.58</v>
      </c>
      <c r="V134" s="7" t="s">
        <v>584</v>
      </c>
      <c r="W134" s="82">
        <f t="shared" ref="W134:W160" si="31">G134-H134</f>
        <v>1.0399999999935972</v>
      </c>
      <c r="X134" s="79"/>
      <c r="Y134" s="4"/>
      <c r="Z134" s="4"/>
      <c r="AA134" s="82"/>
      <c r="AB134" s="82"/>
      <c r="AC134" s="82"/>
      <c r="AD134" s="23"/>
      <c r="AE134" s="7" t="s">
        <v>399</v>
      </c>
      <c r="AH134" s="23">
        <f>SUM('2021 Detail'!J129:U129)+SUM('2021 Detail'!AA129:AC129)</f>
        <v>75522.960000000006</v>
      </c>
      <c r="AJ134" s="23">
        <f t="shared" si="23"/>
        <v>0</v>
      </c>
      <c r="AL134" t="str">
        <f t="shared" ref="AL134:AL160" si="32">IF(AJ134&lt;0,"Down",IF(AJ134&gt;0,"Up","Same"))</f>
        <v>Same</v>
      </c>
      <c r="AQ134" s="23">
        <v>6293.58</v>
      </c>
    </row>
    <row r="135" spans="1:43" x14ac:dyDescent="0.2">
      <c r="A135" s="226" t="s">
        <v>106</v>
      </c>
      <c r="B135" s="9" t="s">
        <v>495</v>
      </c>
      <c r="C135" s="9" t="s">
        <v>495</v>
      </c>
      <c r="D135" s="9" t="s">
        <v>495</v>
      </c>
      <c r="E135" s="9"/>
      <c r="F135" s="9">
        <v>0</v>
      </c>
      <c r="G135" s="83">
        <v>109178</v>
      </c>
      <c r="H135" s="83">
        <f t="shared" si="29"/>
        <v>74000</v>
      </c>
      <c r="I135" s="133">
        <f t="shared" si="30"/>
        <v>0.67779999999999996</v>
      </c>
      <c r="J135" s="82">
        <v>0</v>
      </c>
      <c r="K135" s="82">
        <v>10000</v>
      </c>
      <c r="L135" s="82">
        <v>5000</v>
      </c>
      <c r="M135" s="82"/>
      <c r="N135" s="82">
        <v>10000</v>
      </c>
      <c r="O135" s="82">
        <v>5000</v>
      </c>
      <c r="P135" s="82">
        <v>5000</v>
      </c>
      <c r="Q135" s="82">
        <v>5000</v>
      </c>
      <c r="R135" s="82">
        <v>5000</v>
      </c>
      <c r="S135" s="23">
        <v>5000</v>
      </c>
      <c r="T135" s="23">
        <v>5000</v>
      </c>
      <c r="U135" s="23">
        <v>5000</v>
      </c>
      <c r="V135" s="7" t="s">
        <v>585</v>
      </c>
      <c r="W135" s="82">
        <f t="shared" si="31"/>
        <v>35178</v>
      </c>
      <c r="X135" s="79"/>
      <c r="Y135" s="4"/>
      <c r="Z135" s="4"/>
      <c r="AA135" s="82">
        <v>14000</v>
      </c>
      <c r="AB135" s="82"/>
      <c r="AC135" s="82"/>
      <c r="AD135" s="23"/>
      <c r="AE135" s="7" t="s">
        <v>401</v>
      </c>
      <c r="AH135" s="23">
        <f>SUM('2021 Detail'!J130:U130)+SUM('2021 Detail'!AA130:AC130)</f>
        <v>77000</v>
      </c>
      <c r="AJ135" s="23">
        <f t="shared" si="23"/>
        <v>-3000</v>
      </c>
      <c r="AL135" t="str">
        <f t="shared" si="32"/>
        <v>Down</v>
      </c>
      <c r="AQ135" s="23">
        <v>5000</v>
      </c>
    </row>
    <row r="136" spans="1:43" x14ac:dyDescent="0.2">
      <c r="A136" s="226" t="s">
        <v>107</v>
      </c>
      <c r="B136" s="9" t="s">
        <v>495</v>
      </c>
      <c r="C136" s="9" t="s">
        <v>495</v>
      </c>
      <c r="D136" s="9" t="s">
        <v>495</v>
      </c>
      <c r="E136" s="9"/>
      <c r="F136" s="9" t="s">
        <v>495</v>
      </c>
      <c r="G136" s="83">
        <v>182707</v>
      </c>
      <c r="H136" s="83">
        <f t="shared" si="29"/>
        <v>88213</v>
      </c>
      <c r="I136" s="133">
        <f t="shared" si="30"/>
        <v>0.48280000000000001</v>
      </c>
      <c r="J136" s="82">
        <v>3475.5</v>
      </c>
      <c r="K136" s="82">
        <v>7703.5</v>
      </c>
      <c r="L136" s="82">
        <v>7703.4</v>
      </c>
      <c r="M136" s="82">
        <v>7703.4</v>
      </c>
      <c r="N136" s="82">
        <v>7703.4</v>
      </c>
      <c r="O136" s="82">
        <v>7703.4</v>
      </c>
      <c r="P136" s="82">
        <v>7703.4</v>
      </c>
      <c r="Q136" s="82">
        <v>7703.4</v>
      </c>
      <c r="R136" s="82">
        <v>7703.4</v>
      </c>
      <c r="S136" s="23">
        <v>7703.4</v>
      </c>
      <c r="T136" s="23">
        <v>7703.4</v>
      </c>
      <c r="U136" s="23">
        <v>7703.4</v>
      </c>
      <c r="V136" s="7" t="s">
        <v>586</v>
      </c>
      <c r="W136" s="82">
        <f t="shared" si="31"/>
        <v>94494</v>
      </c>
      <c r="X136" s="79"/>
      <c r="Y136" s="4"/>
      <c r="Z136" s="4"/>
      <c r="AA136" s="82"/>
      <c r="AB136" s="82"/>
      <c r="AC136" s="82"/>
      <c r="AD136" s="23"/>
      <c r="AE136" s="7" t="s">
        <v>402</v>
      </c>
      <c r="AH136" s="23">
        <f>SUM('2021 Detail'!J131:U131)+SUM('2021 Detail'!AA131:AC131)</f>
        <v>127639.75</v>
      </c>
      <c r="AJ136" s="23">
        <f t="shared" si="23"/>
        <v>-39426.75</v>
      </c>
      <c r="AL136" t="str">
        <f t="shared" si="32"/>
        <v>Down</v>
      </c>
      <c r="AQ136" s="23">
        <v>3475.5</v>
      </c>
    </row>
    <row r="137" spans="1:43" x14ac:dyDescent="0.2">
      <c r="A137" s="226" t="s">
        <v>1188</v>
      </c>
      <c r="B137" s="9"/>
      <c r="C137" s="9"/>
      <c r="E137" s="9"/>
      <c r="F137" s="9"/>
      <c r="G137" s="83">
        <v>0</v>
      </c>
      <c r="H137" s="83">
        <f t="shared" si="29"/>
        <v>5000</v>
      </c>
      <c r="I137" s="133"/>
      <c r="J137" s="82"/>
      <c r="K137" s="82"/>
      <c r="L137" s="82"/>
      <c r="M137" s="82"/>
      <c r="N137" s="82"/>
      <c r="O137" s="82"/>
      <c r="P137" s="82"/>
      <c r="Q137" s="82">
        <v>5000</v>
      </c>
      <c r="R137" s="82"/>
      <c r="S137" s="23"/>
      <c r="T137" s="23"/>
      <c r="V137" s="7" t="s">
        <v>1189</v>
      </c>
      <c r="W137" s="82">
        <f t="shared" si="31"/>
        <v>-5000</v>
      </c>
      <c r="X137" s="79"/>
      <c r="Y137" s="4"/>
      <c r="Z137" s="4"/>
      <c r="AA137" s="82"/>
      <c r="AB137" s="82"/>
      <c r="AC137" s="82"/>
      <c r="AD137" s="23"/>
      <c r="AE137" s="7" t="s">
        <v>1191</v>
      </c>
      <c r="AH137" s="23">
        <v>0</v>
      </c>
      <c r="AJ137" s="23">
        <f t="shared" si="23"/>
        <v>5000</v>
      </c>
      <c r="AL137" t="str">
        <f t="shared" si="32"/>
        <v>Up</v>
      </c>
    </row>
    <row r="138" spans="1:43" x14ac:dyDescent="0.2">
      <c r="A138" s="226" t="s">
        <v>108</v>
      </c>
      <c r="B138" s="9" t="s">
        <v>495</v>
      </c>
      <c r="C138" s="9" t="s">
        <v>495</v>
      </c>
      <c r="D138" s="9" t="s">
        <v>495</v>
      </c>
      <c r="E138" s="9"/>
      <c r="F138" s="9">
        <v>0</v>
      </c>
      <c r="G138" s="83">
        <v>40656</v>
      </c>
      <c r="H138" s="83">
        <f t="shared" si="29"/>
        <v>40656</v>
      </c>
      <c r="I138" s="133">
        <f t="shared" si="30"/>
        <v>1</v>
      </c>
      <c r="J138" s="82"/>
      <c r="K138" s="82"/>
      <c r="L138" s="82">
        <v>5000</v>
      </c>
      <c r="M138" s="82">
        <v>2500</v>
      </c>
      <c r="N138" s="82">
        <v>2500</v>
      </c>
      <c r="O138" s="82"/>
      <c r="P138" s="82"/>
      <c r="Q138" s="82">
        <v>20000</v>
      </c>
      <c r="R138" s="82"/>
      <c r="S138" s="23"/>
      <c r="T138" s="23"/>
      <c r="U138" s="23">
        <v>10656</v>
      </c>
      <c r="V138" s="7" t="s">
        <v>587</v>
      </c>
      <c r="W138" s="82">
        <f t="shared" si="31"/>
        <v>0</v>
      </c>
      <c r="X138" s="79"/>
      <c r="Y138" s="4"/>
      <c r="Z138" s="4"/>
      <c r="AA138" s="82"/>
      <c r="AB138" s="82"/>
      <c r="AC138" s="82"/>
      <c r="AD138" s="23"/>
      <c r="AE138" s="7" t="s">
        <v>403</v>
      </c>
      <c r="AH138" s="23">
        <f>SUM('2021 Detail'!J132:U132)+SUM('2021 Detail'!AA132:AC132)</f>
        <v>30000</v>
      </c>
      <c r="AJ138" s="23">
        <f t="shared" si="23"/>
        <v>10656</v>
      </c>
      <c r="AL138" t="str">
        <f t="shared" si="32"/>
        <v>Up</v>
      </c>
      <c r="AQ138" s="23">
        <v>15000</v>
      </c>
    </row>
    <row r="139" spans="1:43" x14ac:dyDescent="0.2">
      <c r="A139" s="226" t="s">
        <v>109</v>
      </c>
      <c r="B139" s="9" t="s">
        <v>495</v>
      </c>
      <c r="C139" s="9" t="s">
        <v>495</v>
      </c>
      <c r="D139" s="9" t="s">
        <v>495</v>
      </c>
      <c r="E139" s="9"/>
      <c r="F139" s="9">
        <v>0</v>
      </c>
      <c r="G139" s="83">
        <v>42376</v>
      </c>
      <c r="H139" s="83">
        <f t="shared" si="29"/>
        <v>20200</v>
      </c>
      <c r="I139" s="133">
        <f t="shared" si="30"/>
        <v>0.47670000000000001</v>
      </c>
      <c r="J139" s="82">
        <v>0</v>
      </c>
      <c r="K139" s="82"/>
      <c r="L139" s="82"/>
      <c r="M139" s="82"/>
      <c r="N139" s="82"/>
      <c r="O139" s="82"/>
      <c r="P139" s="82"/>
      <c r="Q139" s="82"/>
      <c r="R139" s="82">
        <v>10000</v>
      </c>
      <c r="S139" s="23"/>
      <c r="T139" s="23">
        <v>10200</v>
      </c>
      <c r="U139" s="23"/>
      <c r="V139" s="7" t="s">
        <v>588</v>
      </c>
      <c r="W139" s="82">
        <f t="shared" si="31"/>
        <v>22176</v>
      </c>
      <c r="X139" s="79"/>
      <c r="Y139" s="4"/>
      <c r="Z139" s="4"/>
      <c r="AA139" s="82"/>
      <c r="AB139" s="82"/>
      <c r="AC139" s="82"/>
      <c r="AD139" s="23"/>
      <c r="AE139" s="7" t="s">
        <v>404</v>
      </c>
      <c r="AH139" s="23">
        <f>SUM('2021 Detail'!J133:U133)+SUM('2021 Detail'!AA133:AC133)</f>
        <v>30000</v>
      </c>
      <c r="AJ139" s="23">
        <f t="shared" si="23"/>
        <v>-9800</v>
      </c>
      <c r="AL139" t="str">
        <f t="shared" si="32"/>
        <v>Down</v>
      </c>
      <c r="AQ139" s="23">
        <v>22000</v>
      </c>
    </row>
    <row r="140" spans="1:43" x14ac:dyDescent="0.2">
      <c r="A140" s="226" t="s">
        <v>110</v>
      </c>
      <c r="B140" s="9" t="s">
        <v>495</v>
      </c>
      <c r="C140" s="9" t="s">
        <v>495</v>
      </c>
      <c r="D140" s="9">
        <v>0</v>
      </c>
      <c r="E140" s="9"/>
      <c r="F140" s="9">
        <v>0</v>
      </c>
      <c r="G140" s="83">
        <v>51430</v>
      </c>
      <c r="H140" s="83">
        <f t="shared" si="29"/>
        <v>47135</v>
      </c>
      <c r="I140" s="133">
        <f t="shared" si="30"/>
        <v>0.91649999999999998</v>
      </c>
      <c r="J140" s="82">
        <v>4285</v>
      </c>
      <c r="K140" s="82">
        <v>4285</v>
      </c>
      <c r="L140" s="82">
        <v>4285</v>
      </c>
      <c r="M140" s="82">
        <v>4285</v>
      </c>
      <c r="N140" s="82">
        <v>4285</v>
      </c>
      <c r="O140" s="82">
        <v>4285</v>
      </c>
      <c r="P140" s="82">
        <v>4285</v>
      </c>
      <c r="Q140" s="82">
        <v>4285</v>
      </c>
      <c r="R140" s="82">
        <v>4285</v>
      </c>
      <c r="S140" s="23">
        <v>4285</v>
      </c>
      <c r="T140" s="23">
        <v>4285</v>
      </c>
      <c r="U140" s="23"/>
      <c r="V140" s="7" t="s">
        <v>589</v>
      </c>
      <c r="W140" s="82">
        <f t="shared" si="31"/>
        <v>4295</v>
      </c>
      <c r="X140" s="79"/>
      <c r="Y140" s="4"/>
      <c r="Z140" s="4"/>
      <c r="AA140" s="82"/>
      <c r="AB140" s="82"/>
      <c r="AC140" s="82"/>
      <c r="AD140" s="23"/>
      <c r="AE140" s="7" t="s">
        <v>405</v>
      </c>
      <c r="AH140" s="23">
        <f>SUM('2021 Detail'!J134:U134)+SUM('2021 Detail'!AA134:AC134)</f>
        <v>51430</v>
      </c>
      <c r="AJ140" s="23">
        <f t="shared" si="23"/>
        <v>-4295</v>
      </c>
      <c r="AL140" t="str">
        <f t="shared" si="32"/>
        <v>Down</v>
      </c>
      <c r="AQ140" s="23">
        <v>3795</v>
      </c>
    </row>
    <row r="141" spans="1:43" x14ac:dyDescent="0.2">
      <c r="A141" s="226" t="s">
        <v>111</v>
      </c>
      <c r="B141" s="9" t="s">
        <v>495</v>
      </c>
      <c r="C141" s="9">
        <v>0</v>
      </c>
      <c r="D141" s="9">
        <v>0</v>
      </c>
      <c r="E141" s="9"/>
      <c r="F141" s="9">
        <v>0</v>
      </c>
      <c r="G141" s="83">
        <v>17502</v>
      </c>
      <c r="H141" s="83">
        <f t="shared" si="29"/>
        <v>0</v>
      </c>
      <c r="I141" s="133">
        <f t="shared" si="30"/>
        <v>0</v>
      </c>
      <c r="J141" s="82">
        <v>0</v>
      </c>
      <c r="K141" s="82"/>
      <c r="L141" s="82"/>
      <c r="M141" s="82"/>
      <c r="N141" s="82"/>
      <c r="O141" s="82"/>
      <c r="P141" s="82"/>
      <c r="Q141" s="82"/>
      <c r="R141" s="82"/>
      <c r="S141" s="23"/>
      <c r="T141" s="23"/>
      <c r="U141" s="23"/>
      <c r="V141" s="7" t="s">
        <v>590</v>
      </c>
      <c r="W141" s="82">
        <f t="shared" si="31"/>
        <v>17502</v>
      </c>
      <c r="X141" s="79"/>
      <c r="Y141" s="4"/>
      <c r="Z141" s="4"/>
      <c r="AA141" s="82"/>
      <c r="AB141" s="82"/>
      <c r="AC141" s="82"/>
      <c r="AD141" s="23"/>
      <c r="AE141" s="7" t="s">
        <v>404</v>
      </c>
      <c r="AH141" s="23">
        <f>SUM('2021 Detail'!J135:U135)+SUM('2021 Detail'!AA135:AC135)</f>
        <v>5000</v>
      </c>
      <c r="AJ141" s="23">
        <f t="shared" si="23"/>
        <v>-5000</v>
      </c>
      <c r="AL141" t="str">
        <f t="shared" si="32"/>
        <v>Down</v>
      </c>
    </row>
    <row r="142" spans="1:43" x14ac:dyDescent="0.2">
      <c r="A142" s="226" t="s">
        <v>112</v>
      </c>
      <c r="B142" s="9" t="s">
        <v>495</v>
      </c>
      <c r="C142" s="9" t="s">
        <v>495</v>
      </c>
      <c r="D142" s="9">
        <v>0</v>
      </c>
      <c r="E142" s="9"/>
      <c r="F142" s="9">
        <v>0</v>
      </c>
      <c r="G142" s="83">
        <v>66354</v>
      </c>
      <c r="H142" s="83">
        <f t="shared" si="29"/>
        <v>65647</v>
      </c>
      <c r="I142" s="133">
        <f t="shared" si="30"/>
        <v>0.98929999999999996</v>
      </c>
      <c r="J142" s="82">
        <v>5147</v>
      </c>
      <c r="K142" s="82">
        <v>4500</v>
      </c>
      <c r="L142" s="82">
        <v>4500</v>
      </c>
      <c r="M142" s="82">
        <v>4500</v>
      </c>
      <c r="N142" s="82">
        <v>4500</v>
      </c>
      <c r="O142" s="82">
        <v>4500</v>
      </c>
      <c r="P142" s="82">
        <v>4500</v>
      </c>
      <c r="Q142" s="82">
        <v>4500</v>
      </c>
      <c r="R142" s="82">
        <v>13500</v>
      </c>
      <c r="S142" s="23">
        <v>4500</v>
      </c>
      <c r="T142" s="23">
        <v>4500</v>
      </c>
      <c r="U142" s="23">
        <v>4500</v>
      </c>
      <c r="V142" s="7" t="s">
        <v>591</v>
      </c>
      <c r="W142" s="82">
        <f t="shared" si="31"/>
        <v>707</v>
      </c>
      <c r="X142" s="79"/>
      <c r="Y142" s="4"/>
      <c r="Z142" s="4"/>
      <c r="AA142" s="82">
        <v>2000</v>
      </c>
      <c r="AB142" s="82"/>
      <c r="AC142" s="82"/>
      <c r="AD142" s="23"/>
      <c r="AE142" s="7" t="s">
        <v>406</v>
      </c>
      <c r="AH142" s="23">
        <f>SUM('2021 Detail'!J136:U136)+SUM('2021 Detail'!AA136:AC136)</f>
        <v>66353</v>
      </c>
      <c r="AJ142" s="23">
        <f t="shared" si="23"/>
        <v>-706</v>
      </c>
      <c r="AL142" t="str">
        <f t="shared" si="32"/>
        <v>Down</v>
      </c>
      <c r="AQ142" s="23">
        <v>3853</v>
      </c>
    </row>
    <row r="143" spans="1:43" x14ac:dyDescent="0.2">
      <c r="A143" s="226" t="s">
        <v>113</v>
      </c>
      <c r="B143" s="9" t="s">
        <v>495</v>
      </c>
      <c r="C143" s="9" t="s">
        <v>495</v>
      </c>
      <c r="D143" s="9">
        <v>0</v>
      </c>
      <c r="E143" s="9"/>
      <c r="F143" s="9" t="s">
        <v>495</v>
      </c>
      <c r="G143" s="83">
        <v>111579</v>
      </c>
      <c r="H143" s="83">
        <f t="shared" si="29"/>
        <v>111579</v>
      </c>
      <c r="I143" s="133">
        <f t="shared" si="30"/>
        <v>1</v>
      </c>
      <c r="J143" s="82">
        <v>9298.25</v>
      </c>
      <c r="K143" s="82">
        <v>9298.25</v>
      </c>
      <c r="L143" s="82">
        <v>9298.25</v>
      </c>
      <c r="M143" s="82">
        <v>9298.25</v>
      </c>
      <c r="N143" s="82">
        <v>9298.25</v>
      </c>
      <c r="O143" s="82">
        <v>9298.25</v>
      </c>
      <c r="P143" s="82">
        <v>9298.25</v>
      </c>
      <c r="Q143" s="82">
        <v>9298.25</v>
      </c>
      <c r="R143" s="82">
        <v>9298.25</v>
      </c>
      <c r="S143" s="23">
        <v>9298.25</v>
      </c>
      <c r="T143" s="23">
        <v>9298.25</v>
      </c>
      <c r="U143" s="23">
        <v>9298.25</v>
      </c>
      <c r="V143" s="7" t="s">
        <v>592</v>
      </c>
      <c r="W143" s="82">
        <f t="shared" si="31"/>
        <v>0</v>
      </c>
      <c r="X143" s="79"/>
      <c r="Y143" s="4"/>
      <c r="Z143" s="4"/>
      <c r="AA143" s="82"/>
      <c r="AB143" s="82"/>
      <c r="AC143" s="82"/>
      <c r="AD143" s="23"/>
      <c r="AE143" s="7" t="s">
        <v>407</v>
      </c>
      <c r="AH143" s="23">
        <f>SUM('2021 Detail'!J137:U137)+SUM('2021 Detail'!AA137:AC137)</f>
        <v>111579</v>
      </c>
      <c r="AJ143" s="23">
        <f t="shared" si="23"/>
        <v>0</v>
      </c>
      <c r="AL143" t="str">
        <f t="shared" si="32"/>
        <v>Same</v>
      </c>
      <c r="AQ143" s="23">
        <v>9298.25</v>
      </c>
    </row>
    <row r="144" spans="1:43" x14ac:dyDescent="0.2">
      <c r="A144" s="226" t="s">
        <v>114</v>
      </c>
      <c r="B144" s="9">
        <v>0</v>
      </c>
      <c r="C144" s="9">
        <v>0</v>
      </c>
      <c r="D144" s="9">
        <v>0</v>
      </c>
      <c r="E144" s="9"/>
      <c r="F144" s="9" t="s">
        <v>495</v>
      </c>
      <c r="G144" s="83">
        <v>79131</v>
      </c>
      <c r="H144" s="83">
        <f t="shared" si="29"/>
        <v>54000</v>
      </c>
      <c r="I144" s="133">
        <f t="shared" si="30"/>
        <v>0.68240000000000001</v>
      </c>
      <c r="J144" s="82">
        <v>4500</v>
      </c>
      <c r="K144" s="82">
        <v>4500</v>
      </c>
      <c r="L144" s="82">
        <v>4500</v>
      </c>
      <c r="M144" s="82">
        <v>4500</v>
      </c>
      <c r="N144" s="82">
        <v>4500</v>
      </c>
      <c r="O144" s="82">
        <v>4500</v>
      </c>
      <c r="P144" s="82">
        <v>4500</v>
      </c>
      <c r="Q144" s="82">
        <v>4500</v>
      </c>
      <c r="R144" s="82">
        <v>4500</v>
      </c>
      <c r="S144" s="23">
        <v>4500</v>
      </c>
      <c r="T144" s="23">
        <v>4500</v>
      </c>
      <c r="U144" s="23">
        <v>4500</v>
      </c>
      <c r="V144" s="7" t="s">
        <v>593</v>
      </c>
      <c r="W144" s="82">
        <f t="shared" si="31"/>
        <v>25131</v>
      </c>
      <c r="X144" s="79"/>
      <c r="Y144" s="4"/>
      <c r="Z144" s="4"/>
      <c r="AA144" s="82"/>
      <c r="AB144" s="82"/>
      <c r="AC144" s="82"/>
      <c r="AD144" s="23"/>
      <c r="AE144" s="7" t="s">
        <v>409</v>
      </c>
      <c r="AH144" s="23">
        <f>SUM('2021 Detail'!J138:U138)+SUM('2021 Detail'!AA138:AC138)</f>
        <v>54000</v>
      </c>
      <c r="AJ144" s="23">
        <f t="shared" si="23"/>
        <v>0</v>
      </c>
      <c r="AL144" t="str">
        <f t="shared" si="32"/>
        <v>Same</v>
      </c>
      <c r="AQ144" s="23">
        <v>4500</v>
      </c>
    </row>
    <row r="145" spans="1:44" x14ac:dyDescent="0.2">
      <c r="A145" s="226" t="s">
        <v>115</v>
      </c>
      <c r="B145" s="9" t="s">
        <v>495</v>
      </c>
      <c r="C145" s="9" t="s">
        <v>495</v>
      </c>
      <c r="D145" s="9" t="s">
        <v>495</v>
      </c>
      <c r="E145" s="9"/>
      <c r="F145" s="9">
        <v>0</v>
      </c>
      <c r="G145" s="83">
        <v>36231</v>
      </c>
      <c r="H145" s="83">
        <f t="shared" si="29"/>
        <v>20000</v>
      </c>
      <c r="I145" s="133">
        <f t="shared" si="30"/>
        <v>0.55200000000000005</v>
      </c>
      <c r="J145" s="82">
        <v>1000</v>
      </c>
      <c r="K145" s="82">
        <v>1000</v>
      </c>
      <c r="L145" s="82">
        <v>1000</v>
      </c>
      <c r="M145" s="82">
        <v>1000</v>
      </c>
      <c r="N145" s="82">
        <v>1000</v>
      </c>
      <c r="O145" s="82">
        <v>1000</v>
      </c>
      <c r="P145" s="82">
        <v>1000</v>
      </c>
      <c r="Q145" s="82">
        <v>1000</v>
      </c>
      <c r="R145" s="82">
        <v>1000</v>
      </c>
      <c r="S145" s="23">
        <v>1000</v>
      </c>
      <c r="T145" s="23">
        <v>1000</v>
      </c>
      <c r="U145" s="23">
        <v>9000</v>
      </c>
      <c r="V145" s="7" t="s">
        <v>594</v>
      </c>
      <c r="W145" s="82">
        <f t="shared" si="31"/>
        <v>16231</v>
      </c>
      <c r="X145" s="79"/>
      <c r="Y145" s="4"/>
      <c r="Z145" s="4"/>
      <c r="AA145" s="82"/>
      <c r="AB145" s="82"/>
      <c r="AC145" s="82"/>
      <c r="AD145" s="23"/>
      <c r="AE145" s="7" t="s">
        <v>404</v>
      </c>
      <c r="AH145" s="23">
        <f>SUM('2021 Detail'!J139:U139)+SUM('2021 Detail'!AA139:AC139)</f>
        <v>20000</v>
      </c>
      <c r="AJ145" s="23">
        <f t="shared" si="23"/>
        <v>0</v>
      </c>
      <c r="AL145" t="str">
        <f t="shared" si="32"/>
        <v>Same</v>
      </c>
      <c r="AQ145" s="23">
        <v>9500</v>
      </c>
    </row>
    <row r="146" spans="1:44" x14ac:dyDescent="0.2">
      <c r="A146" s="226" t="s">
        <v>116</v>
      </c>
      <c r="B146" s="9">
        <v>0</v>
      </c>
      <c r="C146" s="9" t="s">
        <v>495</v>
      </c>
      <c r="D146" s="9" t="s">
        <v>495</v>
      </c>
      <c r="E146" s="9"/>
      <c r="F146" s="9" t="s">
        <v>495</v>
      </c>
      <c r="G146" s="83">
        <v>47588</v>
      </c>
      <c r="H146" s="83">
        <f t="shared" si="29"/>
        <v>10000</v>
      </c>
      <c r="I146" s="133">
        <f t="shared" si="30"/>
        <v>0.21010000000000001</v>
      </c>
      <c r="J146" s="82">
        <v>1500</v>
      </c>
      <c r="K146" s="82"/>
      <c r="L146" s="82"/>
      <c r="M146" s="82"/>
      <c r="N146" s="82"/>
      <c r="O146" s="82"/>
      <c r="P146" s="82"/>
      <c r="Q146" s="82">
        <v>3000</v>
      </c>
      <c r="R146" s="82"/>
      <c r="S146" s="23"/>
      <c r="T146" s="23"/>
      <c r="U146" s="82">
        <v>5500</v>
      </c>
      <c r="V146" s="7" t="s">
        <v>595</v>
      </c>
      <c r="W146" s="82">
        <f t="shared" si="31"/>
        <v>37588</v>
      </c>
      <c r="X146" s="79"/>
      <c r="Y146" s="4"/>
      <c r="Z146" s="4"/>
      <c r="AA146" s="82"/>
      <c r="AB146" s="82"/>
      <c r="AC146" s="82"/>
      <c r="AD146" s="23"/>
      <c r="AE146" s="7" t="s">
        <v>404</v>
      </c>
      <c r="AH146" s="23">
        <f>SUM('2021 Detail'!J140:U140)+SUM('2021 Detail'!AA140:AC140)</f>
        <v>15000</v>
      </c>
      <c r="AJ146" s="23">
        <f t="shared" si="23"/>
        <v>-5000</v>
      </c>
      <c r="AL146" t="str">
        <f t="shared" si="32"/>
        <v>Down</v>
      </c>
      <c r="AQ146" s="23">
        <v>4500</v>
      </c>
    </row>
    <row r="147" spans="1:44" x14ac:dyDescent="0.2">
      <c r="A147" s="226" t="s">
        <v>117</v>
      </c>
      <c r="B147" s="9" t="s">
        <v>495</v>
      </c>
      <c r="C147" s="9" t="s">
        <v>495</v>
      </c>
      <c r="D147" s="9" t="s">
        <v>495</v>
      </c>
      <c r="E147" s="9"/>
      <c r="F147" s="9">
        <v>0</v>
      </c>
      <c r="G147" s="83">
        <v>90610</v>
      </c>
      <c r="H147" s="83">
        <f t="shared" si="29"/>
        <v>90610</v>
      </c>
      <c r="I147" s="133">
        <f t="shared" si="30"/>
        <v>1</v>
      </c>
      <c r="J147" s="82">
        <v>7560</v>
      </c>
      <c r="K147" s="82">
        <v>7550</v>
      </c>
      <c r="L147" s="82">
        <v>7550</v>
      </c>
      <c r="M147" s="82">
        <v>7550</v>
      </c>
      <c r="N147" s="82">
        <v>7550</v>
      </c>
      <c r="O147" s="82">
        <v>7550</v>
      </c>
      <c r="P147" s="82">
        <v>7550</v>
      </c>
      <c r="Q147" s="82">
        <v>7550</v>
      </c>
      <c r="R147" s="82">
        <v>7550</v>
      </c>
      <c r="S147" s="23">
        <v>7550</v>
      </c>
      <c r="T147" s="23">
        <v>7550</v>
      </c>
      <c r="U147" s="82">
        <v>7550</v>
      </c>
      <c r="V147" s="7" t="s">
        <v>596</v>
      </c>
      <c r="W147" s="82">
        <f t="shared" si="31"/>
        <v>0</v>
      </c>
      <c r="X147" s="79"/>
      <c r="Y147" s="4"/>
      <c r="Z147" s="4"/>
      <c r="AA147" s="82"/>
      <c r="AB147" s="82"/>
      <c r="AC147" s="82"/>
      <c r="AD147" s="23"/>
      <c r="AE147" s="7" t="s">
        <v>410</v>
      </c>
      <c r="AH147" s="23">
        <f>SUM('2021 Detail'!J141:U141)+SUM('2021 Detail'!AA141:AC141)</f>
        <v>90610</v>
      </c>
      <c r="AJ147" s="23">
        <f t="shared" si="23"/>
        <v>0</v>
      </c>
      <c r="AL147" t="str">
        <f t="shared" si="32"/>
        <v>Same</v>
      </c>
      <c r="AQ147" s="23">
        <v>7550</v>
      </c>
    </row>
    <row r="148" spans="1:44" x14ac:dyDescent="0.2">
      <c r="A148" s="226" t="s">
        <v>118</v>
      </c>
      <c r="B148" s="9" t="s">
        <v>495</v>
      </c>
      <c r="C148" s="9" t="s">
        <v>495</v>
      </c>
      <c r="D148" s="9" t="s">
        <v>495</v>
      </c>
      <c r="E148" s="9"/>
      <c r="F148" s="9">
        <v>0</v>
      </c>
      <c r="G148" s="83">
        <v>44743</v>
      </c>
      <c r="H148" s="83">
        <f t="shared" si="29"/>
        <v>39000</v>
      </c>
      <c r="I148" s="133">
        <f t="shared" si="30"/>
        <v>0.87160000000000004</v>
      </c>
      <c r="J148" s="82">
        <v>3000</v>
      </c>
      <c r="K148" s="82">
        <v>3000</v>
      </c>
      <c r="L148" s="82">
        <v>3000</v>
      </c>
      <c r="M148" s="82">
        <v>3000</v>
      </c>
      <c r="N148" s="82">
        <v>3000</v>
      </c>
      <c r="O148" s="82">
        <v>3000</v>
      </c>
      <c r="P148" s="82">
        <v>3500</v>
      </c>
      <c r="Q148" s="82">
        <v>3500</v>
      </c>
      <c r="R148" s="82">
        <v>3500</v>
      </c>
      <c r="S148" s="23">
        <v>3500</v>
      </c>
      <c r="T148" s="23">
        <v>3500</v>
      </c>
      <c r="U148" s="23">
        <v>3500</v>
      </c>
      <c r="V148" s="7" t="s">
        <v>597</v>
      </c>
      <c r="W148" s="82">
        <f t="shared" si="31"/>
        <v>5743</v>
      </c>
      <c r="X148" s="79"/>
      <c r="Y148" s="4"/>
      <c r="Z148" s="4"/>
      <c r="AA148" s="82"/>
      <c r="AB148" s="82"/>
      <c r="AC148" s="82"/>
      <c r="AD148" s="23"/>
      <c r="AE148" s="7" t="s">
        <v>400</v>
      </c>
      <c r="AH148" s="23">
        <f>SUM('2021 Detail'!J142:U142)+SUM('2021 Detail'!AA142:AC142)</f>
        <v>37500</v>
      </c>
      <c r="AJ148" s="23">
        <f t="shared" si="23"/>
        <v>1500</v>
      </c>
      <c r="AL148" t="str">
        <f t="shared" si="32"/>
        <v>Up</v>
      </c>
      <c r="AQ148" s="23">
        <v>13000</v>
      </c>
    </row>
    <row r="149" spans="1:44" x14ac:dyDescent="0.2">
      <c r="A149" s="226" t="s">
        <v>119</v>
      </c>
      <c r="B149" s="9" t="s">
        <v>495</v>
      </c>
      <c r="C149" s="9" t="s">
        <v>495</v>
      </c>
      <c r="D149" s="9" t="s">
        <v>495</v>
      </c>
      <c r="E149" s="9"/>
      <c r="F149" s="9">
        <v>0</v>
      </c>
      <c r="G149" s="83">
        <v>28395</v>
      </c>
      <c r="H149" s="83">
        <f t="shared" si="29"/>
        <v>26001.58</v>
      </c>
      <c r="I149" s="133">
        <f t="shared" si="30"/>
        <v>0.91569999999999996</v>
      </c>
      <c r="J149" s="82">
        <v>1083.3399999999999</v>
      </c>
      <c r="K149" s="82">
        <v>2083.34</v>
      </c>
      <c r="L149" s="82">
        <v>4083.34</v>
      </c>
      <c r="M149" s="82">
        <v>2083.34</v>
      </c>
      <c r="N149" s="82">
        <v>1083.3399999999999</v>
      </c>
      <c r="O149" s="82">
        <v>1000</v>
      </c>
      <c r="P149" s="82">
        <v>4166.68</v>
      </c>
      <c r="Q149" s="82"/>
      <c r="R149" s="82">
        <v>2000</v>
      </c>
      <c r="S149" s="23">
        <v>3166.68</v>
      </c>
      <c r="T149" s="23">
        <v>3167.68</v>
      </c>
      <c r="U149" s="23">
        <v>2083.84</v>
      </c>
      <c r="V149" s="7" t="s">
        <v>598</v>
      </c>
      <c r="W149" s="82">
        <f t="shared" si="31"/>
        <v>2393.4199999999983</v>
      </c>
      <c r="X149" s="79"/>
      <c r="Y149" s="4"/>
      <c r="Z149" s="4"/>
      <c r="AA149" s="82"/>
      <c r="AB149" s="82"/>
      <c r="AC149" s="82"/>
      <c r="AD149" s="23"/>
      <c r="AE149" s="7" t="s">
        <v>411</v>
      </c>
      <c r="AH149" s="23">
        <f>SUM('2021 Detail'!J143:U143)+SUM('2021 Detail'!AA143:AC143)</f>
        <v>25545.33</v>
      </c>
      <c r="AJ149" s="23">
        <f t="shared" si="23"/>
        <v>456.25</v>
      </c>
      <c r="AL149" t="str">
        <f t="shared" si="32"/>
        <v>Up</v>
      </c>
      <c r="AQ149" s="23">
        <v>2309.38</v>
      </c>
    </row>
    <row r="150" spans="1:44" x14ac:dyDescent="0.2">
      <c r="A150" s="226" t="s">
        <v>120</v>
      </c>
      <c r="B150" s="9" t="s">
        <v>495</v>
      </c>
      <c r="C150" s="9" t="s">
        <v>495</v>
      </c>
      <c r="D150" s="9">
        <v>0</v>
      </c>
      <c r="E150" s="9"/>
      <c r="F150" s="9" t="s">
        <v>495</v>
      </c>
      <c r="G150" s="83">
        <v>113604</v>
      </c>
      <c r="H150" s="83">
        <f t="shared" si="29"/>
        <v>55000</v>
      </c>
      <c r="I150" s="133">
        <f t="shared" si="30"/>
        <v>0.48409999999999997</v>
      </c>
      <c r="J150" s="82">
        <v>5000</v>
      </c>
      <c r="K150" s="82">
        <v>5000</v>
      </c>
      <c r="L150" s="82">
        <v>5000</v>
      </c>
      <c r="M150" s="82">
        <v>5000</v>
      </c>
      <c r="N150" s="82">
        <v>5000</v>
      </c>
      <c r="O150" s="82">
        <v>5000</v>
      </c>
      <c r="P150" s="82">
        <v>5000</v>
      </c>
      <c r="Q150" s="82">
        <v>5000</v>
      </c>
      <c r="R150" s="82">
        <v>5000</v>
      </c>
      <c r="S150" s="23">
        <v>5000</v>
      </c>
      <c r="T150" s="23">
        <v>5000</v>
      </c>
      <c r="U150" s="23"/>
      <c r="V150" s="7" t="s">
        <v>599</v>
      </c>
      <c r="W150" s="82">
        <f t="shared" si="31"/>
        <v>58604</v>
      </c>
      <c r="X150" s="79"/>
      <c r="Y150" s="4"/>
      <c r="Z150" s="4"/>
      <c r="AA150" s="82"/>
      <c r="AB150" s="82"/>
      <c r="AC150" s="82"/>
      <c r="AD150" s="23"/>
      <c r="AE150" s="7" t="s">
        <v>412</v>
      </c>
      <c r="AH150" s="23">
        <f>SUM('2021 Detail'!J144:U144)+SUM('2021 Detail'!AA144:AC144)</f>
        <v>54000</v>
      </c>
      <c r="AJ150" s="23">
        <f t="shared" si="23"/>
        <v>1000</v>
      </c>
      <c r="AL150" t="str">
        <f t="shared" si="32"/>
        <v>Up</v>
      </c>
      <c r="AQ150" s="23">
        <v>5000</v>
      </c>
    </row>
    <row r="151" spans="1:44" x14ac:dyDescent="0.2">
      <c r="A151" s="226" t="s">
        <v>121</v>
      </c>
      <c r="B151" s="9" t="s">
        <v>495</v>
      </c>
      <c r="C151" s="9" t="s">
        <v>495</v>
      </c>
      <c r="D151" s="9" t="s">
        <v>495</v>
      </c>
      <c r="E151" s="9"/>
      <c r="F151" s="9">
        <v>0</v>
      </c>
      <c r="G151" s="83">
        <v>28510</v>
      </c>
      <c r="H151" s="83">
        <f t="shared" si="29"/>
        <v>15000</v>
      </c>
      <c r="I151" s="133">
        <f t="shared" si="30"/>
        <v>0.52610000000000001</v>
      </c>
      <c r="J151" s="82">
        <v>0</v>
      </c>
      <c r="K151" s="82">
        <v>2000</v>
      </c>
      <c r="L151" s="82">
        <v>1000</v>
      </c>
      <c r="M151" s="82">
        <v>1000</v>
      </c>
      <c r="N151" s="82">
        <v>1000</v>
      </c>
      <c r="O151" s="82">
        <v>1000</v>
      </c>
      <c r="P151" s="82">
        <v>1000</v>
      </c>
      <c r="Q151" s="82">
        <v>1000</v>
      </c>
      <c r="R151" s="82">
        <v>1000</v>
      </c>
      <c r="S151" s="23"/>
      <c r="T151" s="23">
        <v>3000</v>
      </c>
      <c r="U151" s="23">
        <v>3000</v>
      </c>
      <c r="V151" s="7" t="s">
        <v>600</v>
      </c>
      <c r="W151" s="82">
        <f t="shared" si="31"/>
        <v>13510</v>
      </c>
      <c r="X151" s="79"/>
      <c r="Y151" s="4"/>
      <c r="Z151" s="4"/>
      <c r="AA151" s="82"/>
      <c r="AB151" s="82"/>
      <c r="AC151" s="82"/>
      <c r="AD151" s="23"/>
      <c r="AE151" s="7" t="s">
        <v>415</v>
      </c>
      <c r="AH151" s="23">
        <f>SUM('2021 Detail'!J145:U145)+SUM('2021 Detail'!AA145:AC145)</f>
        <v>23000</v>
      </c>
      <c r="AJ151" s="23">
        <f t="shared" si="23"/>
        <v>-8000</v>
      </c>
      <c r="AL151" t="str">
        <f t="shared" si="32"/>
        <v>Down</v>
      </c>
      <c r="AQ151" s="23">
        <v>3660</v>
      </c>
    </row>
    <row r="152" spans="1:44" x14ac:dyDescent="0.2">
      <c r="A152" s="226" t="s">
        <v>123</v>
      </c>
      <c r="B152" s="9" t="s">
        <v>495</v>
      </c>
      <c r="C152" s="9" t="s">
        <v>495</v>
      </c>
      <c r="D152" s="9" t="s">
        <v>495</v>
      </c>
      <c r="E152" s="9"/>
      <c r="F152" s="9">
        <v>0</v>
      </c>
      <c r="G152" s="83">
        <v>23780</v>
      </c>
      <c r="H152" s="83">
        <f t="shared" si="29"/>
        <v>21000</v>
      </c>
      <c r="I152" s="133">
        <f t="shared" si="30"/>
        <v>0.8831</v>
      </c>
      <c r="J152" s="82">
        <v>0</v>
      </c>
      <c r="K152" s="82"/>
      <c r="L152" s="82"/>
      <c r="M152" s="82">
        <v>5250</v>
      </c>
      <c r="N152" s="82"/>
      <c r="O152" s="82">
        <v>3500</v>
      </c>
      <c r="P152" s="82">
        <v>1750</v>
      </c>
      <c r="Q152" s="82">
        <v>1750</v>
      </c>
      <c r="R152" s="82">
        <v>1750</v>
      </c>
      <c r="S152" s="23">
        <v>1750</v>
      </c>
      <c r="T152" s="23">
        <v>3500</v>
      </c>
      <c r="U152" s="23">
        <v>1750</v>
      </c>
      <c r="V152" s="7" t="s">
        <v>602</v>
      </c>
      <c r="W152" s="82">
        <f t="shared" si="31"/>
        <v>2780</v>
      </c>
      <c r="X152" s="79"/>
      <c r="Y152" s="4"/>
      <c r="Z152" s="4"/>
      <c r="AA152" s="82"/>
      <c r="AB152" s="82"/>
      <c r="AC152" s="82"/>
      <c r="AD152" s="23"/>
      <c r="AE152" s="7" t="s">
        <v>413</v>
      </c>
      <c r="AH152" s="23">
        <f>SUM('2021 Detail'!J147:U147)+SUM('2021 Detail'!AA147:AC147)</f>
        <v>21000</v>
      </c>
      <c r="AJ152" s="23">
        <f t="shared" si="23"/>
        <v>0</v>
      </c>
      <c r="AL152" t="str">
        <f t="shared" si="32"/>
        <v>Same</v>
      </c>
      <c r="AQ152" s="23">
        <v>2250</v>
      </c>
    </row>
    <row r="153" spans="1:44" x14ac:dyDescent="0.2">
      <c r="A153" s="226" t="s">
        <v>124</v>
      </c>
      <c r="B153" s="9" t="s">
        <v>495</v>
      </c>
      <c r="C153" s="9">
        <v>0</v>
      </c>
      <c r="D153" s="9">
        <v>0</v>
      </c>
      <c r="E153" s="9"/>
      <c r="F153" s="9">
        <v>0</v>
      </c>
      <c r="G153" s="83">
        <v>23785</v>
      </c>
      <c r="H153" s="83">
        <f t="shared" si="29"/>
        <v>24215</v>
      </c>
      <c r="I153" s="133">
        <f t="shared" si="30"/>
        <v>1.0181</v>
      </c>
      <c r="J153" s="82">
        <v>2215</v>
      </c>
      <c r="K153" s="82">
        <v>2000</v>
      </c>
      <c r="L153" s="82">
        <v>2000</v>
      </c>
      <c r="M153" s="82">
        <v>2000</v>
      </c>
      <c r="N153" s="82">
        <v>2000</v>
      </c>
      <c r="O153" s="82">
        <v>2000</v>
      </c>
      <c r="P153" s="82">
        <v>2000</v>
      </c>
      <c r="Q153" s="82">
        <v>2000</v>
      </c>
      <c r="R153" s="82">
        <v>2000</v>
      </c>
      <c r="S153" s="23">
        <v>2000</v>
      </c>
      <c r="T153" s="23">
        <v>2000</v>
      </c>
      <c r="U153" s="23">
        <v>2000</v>
      </c>
      <c r="V153" s="7" t="s">
        <v>603</v>
      </c>
      <c r="W153" s="82">
        <f t="shared" si="31"/>
        <v>-430</v>
      </c>
      <c r="X153" s="79"/>
      <c r="Y153" s="4"/>
      <c r="Z153" s="4"/>
      <c r="AA153" s="82"/>
      <c r="AB153" s="82"/>
      <c r="AC153" s="82"/>
      <c r="AD153" s="23"/>
      <c r="AE153" s="7" t="s">
        <v>414</v>
      </c>
      <c r="AH153" s="23">
        <f>SUM('2021 Detail'!J148:U148)+SUM('2021 Detail'!AA148:AC148)</f>
        <v>23785</v>
      </c>
      <c r="AJ153" s="23">
        <f t="shared" si="23"/>
        <v>430</v>
      </c>
      <c r="AL153" t="str">
        <f t="shared" si="32"/>
        <v>Up</v>
      </c>
      <c r="AQ153" s="23">
        <v>1785</v>
      </c>
      <c r="AR153" t="s">
        <v>1115</v>
      </c>
    </row>
    <row r="154" spans="1:44" x14ac:dyDescent="0.2">
      <c r="A154" s="226" t="s">
        <v>125</v>
      </c>
      <c r="B154" s="9" t="s">
        <v>495</v>
      </c>
      <c r="C154" s="9" t="s">
        <v>495</v>
      </c>
      <c r="D154" s="9" t="s">
        <v>495</v>
      </c>
      <c r="E154" s="9"/>
      <c r="F154" s="9" t="s">
        <v>495</v>
      </c>
      <c r="G154" s="83">
        <v>69036</v>
      </c>
      <c r="H154" s="83">
        <f t="shared" si="29"/>
        <v>40000</v>
      </c>
      <c r="I154" s="133">
        <f t="shared" si="30"/>
        <v>0.57940000000000003</v>
      </c>
      <c r="J154" s="82">
        <v>3000</v>
      </c>
      <c r="K154" s="82">
        <v>3000</v>
      </c>
      <c r="L154" s="82">
        <v>3000</v>
      </c>
      <c r="M154" s="82">
        <v>3000</v>
      </c>
      <c r="N154" s="82">
        <v>3000</v>
      </c>
      <c r="O154" s="82">
        <v>3000</v>
      </c>
      <c r="P154" s="82">
        <v>3000</v>
      </c>
      <c r="Q154" s="82">
        <v>3000</v>
      </c>
      <c r="R154" s="82">
        <v>3000</v>
      </c>
      <c r="S154" s="23">
        <v>3000</v>
      </c>
      <c r="T154" s="23">
        <v>3000</v>
      </c>
      <c r="U154" s="23">
        <v>7000</v>
      </c>
      <c r="V154" s="7" t="s">
        <v>604</v>
      </c>
      <c r="W154" s="82">
        <f t="shared" si="31"/>
        <v>29036</v>
      </c>
      <c r="X154" s="79"/>
      <c r="Y154" s="4"/>
      <c r="Z154" s="4"/>
      <c r="AA154" s="82"/>
      <c r="AB154" s="82"/>
      <c r="AC154" s="82"/>
      <c r="AD154" s="23"/>
      <c r="AE154" s="7" t="s">
        <v>415</v>
      </c>
      <c r="AH154" s="23">
        <f>SUM('2021 Detail'!J149:U149)+SUM('2021 Detail'!AA149:AC149)</f>
        <v>36000</v>
      </c>
      <c r="AJ154" s="23">
        <f t="shared" si="23"/>
        <v>4000</v>
      </c>
      <c r="AL154" t="str">
        <f t="shared" si="32"/>
        <v>Up</v>
      </c>
      <c r="AQ154" s="23">
        <v>3000</v>
      </c>
    </row>
    <row r="155" spans="1:44" x14ac:dyDescent="0.2">
      <c r="A155" s="226" t="s">
        <v>126</v>
      </c>
      <c r="B155" s="9" t="s">
        <v>495</v>
      </c>
      <c r="C155" s="9" t="s">
        <v>495</v>
      </c>
      <c r="D155" s="9">
        <v>0</v>
      </c>
      <c r="E155" s="9"/>
      <c r="F155" s="9">
        <v>0</v>
      </c>
      <c r="G155" s="83">
        <v>28395</v>
      </c>
      <c r="H155" s="83">
        <f t="shared" si="29"/>
        <v>15500</v>
      </c>
      <c r="I155" s="133">
        <f t="shared" si="30"/>
        <v>0.54590000000000005</v>
      </c>
      <c r="J155" s="82">
        <v>2000</v>
      </c>
      <c r="K155" s="82"/>
      <c r="L155" s="82">
        <v>1500</v>
      </c>
      <c r="M155" s="82"/>
      <c r="N155" s="82"/>
      <c r="O155" s="82">
        <v>3000</v>
      </c>
      <c r="P155" s="82"/>
      <c r="Q155" s="82">
        <v>3000</v>
      </c>
      <c r="R155" s="82">
        <v>3000</v>
      </c>
      <c r="S155" s="23"/>
      <c r="T155" s="23">
        <v>3000</v>
      </c>
      <c r="U155" s="23">
        <v>0</v>
      </c>
      <c r="V155" s="7" t="s">
        <v>605</v>
      </c>
      <c r="W155" s="82">
        <f t="shared" si="31"/>
        <v>12895</v>
      </c>
      <c r="X155" s="79"/>
      <c r="Y155" s="4"/>
      <c r="Z155" s="4"/>
      <c r="AA155" s="82"/>
      <c r="AB155" s="82"/>
      <c r="AC155" s="82"/>
      <c r="AD155" s="23"/>
      <c r="AE155" s="7" t="s">
        <v>411</v>
      </c>
      <c r="AH155" s="23">
        <f>SUM('2021 Detail'!J150:U150)+SUM('2021 Detail'!AA150:AC150)</f>
        <v>19500</v>
      </c>
      <c r="AJ155" s="23">
        <f t="shared" si="23"/>
        <v>-4000</v>
      </c>
      <c r="AL155" t="str">
        <f t="shared" si="32"/>
        <v>Down</v>
      </c>
      <c r="AQ155" s="23">
        <v>2000</v>
      </c>
    </row>
    <row r="156" spans="1:44" x14ac:dyDescent="0.2">
      <c r="A156" s="226" t="s">
        <v>127</v>
      </c>
      <c r="B156" s="9">
        <v>0</v>
      </c>
      <c r="C156" s="9" t="s">
        <v>495</v>
      </c>
      <c r="D156" s="9" t="s">
        <v>495</v>
      </c>
      <c r="E156" s="9"/>
      <c r="F156" s="9" t="s">
        <v>495</v>
      </c>
      <c r="G156" s="83">
        <v>28505</v>
      </c>
      <c r="H156" s="83">
        <f t="shared" si="29"/>
        <v>27600</v>
      </c>
      <c r="I156" s="133">
        <f t="shared" si="30"/>
        <v>0.96830000000000005</v>
      </c>
      <c r="J156" s="82">
        <v>2300</v>
      </c>
      <c r="K156" s="82">
        <v>2300</v>
      </c>
      <c r="L156" s="82">
        <v>2300</v>
      </c>
      <c r="M156" s="82">
        <v>2300</v>
      </c>
      <c r="N156" s="82">
        <v>2300</v>
      </c>
      <c r="O156" s="82">
        <v>2300</v>
      </c>
      <c r="P156" s="82">
        <v>2300</v>
      </c>
      <c r="Q156" s="82">
        <v>2300</v>
      </c>
      <c r="R156" s="82">
        <v>2300</v>
      </c>
      <c r="S156" s="23">
        <v>2300</v>
      </c>
      <c r="T156" s="23">
        <v>2300</v>
      </c>
      <c r="U156" s="23">
        <v>2300</v>
      </c>
      <c r="V156" s="7" t="s">
        <v>606</v>
      </c>
      <c r="W156" s="82">
        <f t="shared" si="31"/>
        <v>905</v>
      </c>
      <c r="X156" s="79"/>
      <c r="Y156" s="4"/>
      <c r="Z156" s="4"/>
      <c r="AA156" s="82"/>
      <c r="AB156" s="82"/>
      <c r="AC156" s="82"/>
      <c r="AD156" s="23"/>
      <c r="AE156" s="7" t="s">
        <v>416</v>
      </c>
      <c r="AH156" s="23">
        <f>SUM('2021 Detail'!J151:U151)+SUM('2021 Detail'!AA151:AC151)</f>
        <v>13800</v>
      </c>
      <c r="AJ156" s="23">
        <f t="shared" si="23"/>
        <v>13800</v>
      </c>
      <c r="AL156" t="str">
        <f t="shared" si="32"/>
        <v>Up</v>
      </c>
      <c r="AQ156" s="23">
        <v>2300</v>
      </c>
    </row>
    <row r="157" spans="1:44" x14ac:dyDescent="0.2">
      <c r="A157" s="226" t="s">
        <v>128</v>
      </c>
      <c r="B157" s="9" t="s">
        <v>495</v>
      </c>
      <c r="C157" s="9" t="s">
        <v>495</v>
      </c>
      <c r="D157" s="9" t="s">
        <v>495</v>
      </c>
      <c r="E157" s="9"/>
      <c r="F157" s="9">
        <v>0</v>
      </c>
      <c r="G157" s="83">
        <v>65787</v>
      </c>
      <c r="H157" s="83">
        <f t="shared" si="29"/>
        <v>32787</v>
      </c>
      <c r="I157" s="133">
        <f t="shared" si="30"/>
        <v>0.49840000000000001</v>
      </c>
      <c r="J157" s="82">
        <v>0</v>
      </c>
      <c r="K157" s="82">
        <v>3600</v>
      </c>
      <c r="L157" s="82">
        <v>3487</v>
      </c>
      <c r="M157" s="82">
        <v>1900</v>
      </c>
      <c r="N157" s="82"/>
      <c r="O157" s="82">
        <v>6500</v>
      </c>
      <c r="P157" s="82"/>
      <c r="Q157" s="82">
        <v>5000</v>
      </c>
      <c r="R157" s="82">
        <v>4500</v>
      </c>
      <c r="S157" s="23">
        <v>2300</v>
      </c>
      <c r="T157" s="23"/>
      <c r="U157" s="23">
        <v>5500</v>
      </c>
      <c r="V157" s="7" t="s">
        <v>607</v>
      </c>
      <c r="W157" s="82">
        <f t="shared" si="31"/>
        <v>33000</v>
      </c>
      <c r="X157" s="79"/>
      <c r="Y157" s="4"/>
      <c r="Z157" s="4"/>
      <c r="AA157" s="82"/>
      <c r="AB157" s="82"/>
      <c r="AC157" s="82"/>
      <c r="AD157" s="23"/>
      <c r="AE157" s="7" t="s">
        <v>417</v>
      </c>
      <c r="AH157" s="23">
        <f>SUM('2021 Detail'!J152:U152)+SUM('2021 Detail'!AA152:AC152)</f>
        <v>46310</v>
      </c>
      <c r="AJ157" s="23">
        <f t="shared" si="23"/>
        <v>-13523</v>
      </c>
      <c r="AL157" t="str">
        <f t="shared" si="32"/>
        <v>Down</v>
      </c>
      <c r="AQ157" s="23">
        <v>5150</v>
      </c>
    </row>
    <row r="158" spans="1:44" x14ac:dyDescent="0.2">
      <c r="A158" s="226" t="s">
        <v>129</v>
      </c>
      <c r="B158" s="9" t="s">
        <v>495</v>
      </c>
      <c r="C158" s="9" t="s">
        <v>495</v>
      </c>
      <c r="D158" s="9" t="s">
        <v>495</v>
      </c>
      <c r="E158" s="9"/>
      <c r="F158" s="9" t="s">
        <v>495</v>
      </c>
      <c r="G158" s="83">
        <v>6000</v>
      </c>
      <c r="H158" s="83">
        <f t="shared" si="29"/>
        <v>6000</v>
      </c>
      <c r="I158" s="133">
        <f t="shared" si="30"/>
        <v>1</v>
      </c>
      <c r="J158" s="82">
        <v>500</v>
      </c>
      <c r="K158" s="82">
        <v>500</v>
      </c>
      <c r="L158" s="82">
        <v>500</v>
      </c>
      <c r="M158" s="82">
        <v>500</v>
      </c>
      <c r="N158" s="82">
        <v>500</v>
      </c>
      <c r="O158" s="82">
        <v>500</v>
      </c>
      <c r="P158" s="82">
        <v>500</v>
      </c>
      <c r="Q158" s="82">
        <v>500</v>
      </c>
      <c r="R158" s="82">
        <v>500</v>
      </c>
      <c r="S158" s="23">
        <v>500</v>
      </c>
      <c r="T158" s="23">
        <v>500</v>
      </c>
      <c r="U158" s="23">
        <v>500</v>
      </c>
      <c r="V158" s="7" t="s">
        <v>608</v>
      </c>
      <c r="W158" s="82">
        <f t="shared" si="31"/>
        <v>0</v>
      </c>
      <c r="X158" s="79"/>
      <c r="Y158" s="4"/>
      <c r="Z158" s="4"/>
      <c r="AA158" s="82"/>
      <c r="AB158" s="82"/>
      <c r="AC158" s="82"/>
      <c r="AD158" s="23"/>
      <c r="AE158" s="7" t="s">
        <v>413</v>
      </c>
      <c r="AH158" s="23">
        <f>SUM('2021 Detail'!J153:U153)+SUM('2021 Detail'!AA153:AC153)</f>
        <v>6000</v>
      </c>
      <c r="AJ158" s="23">
        <f t="shared" si="23"/>
        <v>0</v>
      </c>
      <c r="AL158" t="str">
        <f t="shared" si="32"/>
        <v>Same</v>
      </c>
      <c r="AQ158" s="23">
        <v>560</v>
      </c>
    </row>
    <row r="159" spans="1:44" x14ac:dyDescent="0.2">
      <c r="A159" s="226" t="s">
        <v>130</v>
      </c>
      <c r="B159" s="9" t="s">
        <v>495</v>
      </c>
      <c r="C159" s="9" t="s">
        <v>495</v>
      </c>
      <c r="D159" s="9" t="s">
        <v>495</v>
      </c>
      <c r="E159" s="9"/>
      <c r="F159" s="9">
        <v>0</v>
      </c>
      <c r="G159" s="83">
        <v>64599</v>
      </c>
      <c r="H159" s="83">
        <f>SUM(J159:U159)+SUM(AA159:AC159)</f>
        <v>23114</v>
      </c>
      <c r="I159" s="133">
        <f t="shared" si="30"/>
        <v>0.35780000000000001</v>
      </c>
      <c r="J159" s="82">
        <v>778.5</v>
      </c>
      <c r="K159" s="82">
        <v>778.5</v>
      </c>
      <c r="L159" s="82">
        <v>778.5</v>
      </c>
      <c r="M159" s="82">
        <v>778.5</v>
      </c>
      <c r="N159" s="82">
        <v>2500</v>
      </c>
      <c r="O159" s="82">
        <v>2500</v>
      </c>
      <c r="P159" s="82">
        <v>2500</v>
      </c>
      <c r="Q159" s="82">
        <v>2500</v>
      </c>
      <c r="R159" s="82">
        <v>2500</v>
      </c>
      <c r="S159" s="23">
        <v>2500</v>
      </c>
      <c r="T159" s="23">
        <v>2500</v>
      </c>
      <c r="U159" s="23">
        <v>2500</v>
      </c>
      <c r="V159" s="7" t="s">
        <v>609</v>
      </c>
      <c r="W159" s="82">
        <f t="shared" si="31"/>
        <v>41485</v>
      </c>
      <c r="X159" s="79"/>
      <c r="Y159" s="4"/>
      <c r="Z159" s="4"/>
      <c r="AA159" s="82"/>
      <c r="AB159" s="82"/>
      <c r="AC159" s="82"/>
      <c r="AD159" s="23"/>
      <c r="AE159" s="7" t="s">
        <v>418</v>
      </c>
      <c r="AH159" s="23">
        <f>SUM('2021 Detail'!J154:U154)+SUM('2021 Detail'!AA154:AC154)</f>
        <v>22500</v>
      </c>
      <c r="AJ159" s="23">
        <f t="shared" si="23"/>
        <v>614</v>
      </c>
      <c r="AL159" t="str">
        <f t="shared" si="32"/>
        <v>Up</v>
      </c>
    </row>
    <row r="160" spans="1:44" x14ac:dyDescent="0.2">
      <c r="A160" s="226" t="s">
        <v>376</v>
      </c>
      <c r="B160" s="9" t="s">
        <v>495</v>
      </c>
      <c r="C160" s="9" t="s">
        <v>495</v>
      </c>
      <c r="D160" s="9" t="s">
        <v>495</v>
      </c>
      <c r="E160" s="9"/>
      <c r="F160" s="9">
        <v>0</v>
      </c>
      <c r="G160" s="83">
        <v>21842</v>
      </c>
      <c r="H160" s="83">
        <f t="shared" si="29"/>
        <v>18000</v>
      </c>
      <c r="I160" s="133">
        <f t="shared" si="30"/>
        <v>0.82410000000000005</v>
      </c>
      <c r="J160" s="82">
        <v>0</v>
      </c>
      <c r="K160" s="82"/>
      <c r="L160" s="82"/>
      <c r="M160" s="82"/>
      <c r="N160" s="82"/>
      <c r="O160" s="82"/>
      <c r="P160" s="82">
        <v>3000</v>
      </c>
      <c r="Q160" s="82">
        <v>1000</v>
      </c>
      <c r="R160" s="82"/>
      <c r="S160" s="23">
        <v>500</v>
      </c>
      <c r="T160" s="23"/>
      <c r="U160" s="23">
        <v>13500</v>
      </c>
      <c r="V160" s="7" t="s">
        <v>377</v>
      </c>
      <c r="W160" s="82">
        <f t="shared" si="31"/>
        <v>3842</v>
      </c>
      <c r="X160" s="79"/>
      <c r="Y160" s="4"/>
      <c r="Z160" s="4"/>
      <c r="AA160" s="82"/>
      <c r="AB160" s="82"/>
      <c r="AC160" s="82"/>
      <c r="AD160" s="23"/>
      <c r="AE160" s="7" t="s">
        <v>1131</v>
      </c>
      <c r="AH160" s="23">
        <f>SUM('2021 Detail'!J155:U155)+SUM('2021 Detail'!AA155:AC155)</f>
        <v>12000</v>
      </c>
      <c r="AJ160" s="23">
        <f t="shared" ref="AJ160:AJ218" si="33">H160-AH160</f>
        <v>6000</v>
      </c>
      <c r="AL160" t="str">
        <f t="shared" si="32"/>
        <v>Up</v>
      </c>
      <c r="AQ160" s="23">
        <v>2150</v>
      </c>
    </row>
    <row r="161" spans="1:43" x14ac:dyDescent="0.2">
      <c r="G161" s="83"/>
      <c r="H161" s="83"/>
      <c r="I161" s="133"/>
      <c r="X161" s="79"/>
      <c r="Y161" s="4"/>
      <c r="Z161" s="4"/>
      <c r="AJ161" s="23"/>
    </row>
    <row r="162" spans="1:43" x14ac:dyDescent="0.2">
      <c r="A162" s="226" t="s">
        <v>1142</v>
      </c>
      <c r="G162" s="83">
        <f>SUM(G134:G161)</f>
        <v>1497847</v>
      </c>
      <c r="H162" s="83">
        <f>SUM(H134:H161)</f>
        <v>1045780.5399999999</v>
      </c>
      <c r="I162" s="133">
        <f t="shared" ref="I162:I163" si="34">ROUND((H162/G162),4)</f>
        <v>0.69820000000000004</v>
      </c>
      <c r="J162" s="83">
        <f t="shared" ref="J162:U162" si="35">SUM(J134:J161)</f>
        <v>56642.59</v>
      </c>
      <c r="K162" s="83">
        <f t="shared" si="35"/>
        <v>85685.75</v>
      </c>
      <c r="L162" s="83">
        <f t="shared" si="35"/>
        <v>81779.069999999992</v>
      </c>
      <c r="M162" s="83">
        <f t="shared" si="35"/>
        <v>74442.069999999992</v>
      </c>
      <c r="N162" s="83">
        <f t="shared" si="35"/>
        <v>78013.569999999992</v>
      </c>
      <c r="O162" s="83">
        <f t="shared" si="35"/>
        <v>83430.23</v>
      </c>
      <c r="P162" s="83">
        <f t="shared" si="35"/>
        <v>78846.91</v>
      </c>
      <c r="Q162" s="83">
        <f t="shared" si="35"/>
        <v>108680.23</v>
      </c>
      <c r="R162" s="83">
        <f t="shared" si="35"/>
        <v>93886.65</v>
      </c>
      <c r="S162" s="4">
        <f t="shared" si="35"/>
        <v>82940.489999999991</v>
      </c>
      <c r="T162" s="4">
        <f t="shared" si="35"/>
        <v>91797.909999999989</v>
      </c>
      <c r="U162" s="4">
        <f t="shared" si="35"/>
        <v>113635.06999999999</v>
      </c>
      <c r="V162" s="77"/>
      <c r="W162" s="82">
        <f>SUM(W134:W161)</f>
        <v>452066.45999999996</v>
      </c>
      <c r="X162" s="79"/>
      <c r="Y162" s="4"/>
      <c r="Z162" s="4"/>
      <c r="AA162" s="83">
        <f>SUM(AA134:AA161)</f>
        <v>16000</v>
      </c>
      <c r="AB162" s="83">
        <f>SUM(AB134:AB161)</f>
        <v>0</v>
      </c>
      <c r="AC162" s="83">
        <f>SUM(AC134:AC161)</f>
        <v>0</v>
      </c>
      <c r="AD162" s="4"/>
      <c r="AH162" s="23">
        <f>SUM(AH134:AH161)</f>
        <v>1095075.04</v>
      </c>
      <c r="AJ162" s="23">
        <f t="shared" si="33"/>
        <v>-49294.500000000116</v>
      </c>
      <c r="AM162" s="11">
        <f>SUM(J162:R162)+SUM(S163:U163)+SUM('2020 detail'!AA156:AC156)</f>
        <v>1028316.13</v>
      </c>
      <c r="AN162" s="24">
        <f>ROUND((AM162/G162),4)</f>
        <v>0.6865</v>
      </c>
      <c r="AO162" s="24">
        <f>ROUND((SUM(J163:U163)/G163),4)</f>
        <v>0.71030000000000004</v>
      </c>
      <c r="AQ162" s="23">
        <f>SUM(AQ134:AQ161)</f>
        <v>137929.71000000002</v>
      </c>
    </row>
    <row r="163" spans="1:43" x14ac:dyDescent="0.2">
      <c r="A163" s="253" t="s">
        <v>1056</v>
      </c>
      <c r="G163" s="206">
        <f>'2021 Detail'!G157</f>
        <v>1509284</v>
      </c>
      <c r="H163" s="206">
        <f>SUM(J163:U163)+SUM(AA163:AC163)</f>
        <v>1095075.04</v>
      </c>
      <c r="I163" s="207">
        <f t="shared" si="34"/>
        <v>0.72560000000000002</v>
      </c>
      <c r="J163" s="206">
        <f>'2021 Detail'!J157</f>
        <v>68437.33</v>
      </c>
      <c r="K163" s="206">
        <f>'2021 Detail'!K157</f>
        <v>93216.08</v>
      </c>
      <c r="L163" s="206">
        <f>'2021 Detail'!L157</f>
        <v>78656.08</v>
      </c>
      <c r="M163" s="206">
        <f>'2021 Detail'!M157</f>
        <v>87317.33</v>
      </c>
      <c r="N163" s="206">
        <f>'2021 Detail'!N157</f>
        <v>90020.77</v>
      </c>
      <c r="O163" s="206">
        <f>'2021 Detail'!O157</f>
        <v>94270.77</v>
      </c>
      <c r="P163" s="206">
        <f>'2021 Detail'!P157</f>
        <v>86320.77</v>
      </c>
      <c r="Q163" s="206">
        <f>'2021 Detail'!Q157</f>
        <v>92856.08</v>
      </c>
      <c r="R163" s="206">
        <f>'2021 Detail'!R157</f>
        <v>94070.77</v>
      </c>
      <c r="S163" s="206">
        <f>'2021 Detail'!S157</f>
        <v>75312.33</v>
      </c>
      <c r="T163" s="206">
        <f>'2021 Detail'!T157</f>
        <v>73667.02</v>
      </c>
      <c r="U163" s="206">
        <f>'2021 Detail'!U157</f>
        <v>137929.71000000002</v>
      </c>
      <c r="X163" s="79"/>
      <c r="Y163" s="4"/>
      <c r="Z163" s="4"/>
      <c r="AA163" s="165">
        <f>'2021 Detail'!AA157</f>
        <v>17000</v>
      </c>
      <c r="AB163" s="165">
        <f>'2021 Detail'!AB157</f>
        <v>6000</v>
      </c>
      <c r="AC163" s="165">
        <f>'2021 Detail'!AC157</f>
        <v>0</v>
      </c>
      <c r="AJ163" s="23"/>
    </row>
    <row r="164" spans="1:43" x14ac:dyDescent="0.2">
      <c r="X164" s="79"/>
      <c r="Y164" s="4"/>
      <c r="Z164" s="4"/>
      <c r="AJ164" s="23"/>
    </row>
    <row r="165" spans="1:43" x14ac:dyDescent="0.2">
      <c r="A165" s="226" t="str">
        <f t="shared" ref="A165:U165" si="36">A$510</f>
        <v>Diocesan Total 2022</v>
      </c>
      <c r="B165" s="226">
        <f t="shared" si="36"/>
        <v>0</v>
      </c>
      <c r="C165" s="226">
        <f t="shared" si="36"/>
        <v>0</v>
      </c>
      <c r="D165" s="258">
        <f t="shared" si="36"/>
        <v>0</v>
      </c>
      <c r="E165" s="226">
        <f t="shared" si="36"/>
        <v>0</v>
      </c>
      <c r="F165" s="226">
        <f t="shared" si="36"/>
        <v>0</v>
      </c>
      <c r="G165" s="83">
        <f t="shared" si="36"/>
        <v>8116012</v>
      </c>
      <c r="H165" s="83">
        <f t="shared" si="36"/>
        <v>6559276.3399999999</v>
      </c>
      <c r="I165" s="133">
        <f t="shared" si="36"/>
        <v>0.80820000000000003</v>
      </c>
      <c r="J165" s="83">
        <f t="shared" si="36"/>
        <v>378351.23</v>
      </c>
      <c r="K165" s="83">
        <f t="shared" si="36"/>
        <v>449442.02</v>
      </c>
      <c r="L165" s="83">
        <f t="shared" si="36"/>
        <v>517036.34</v>
      </c>
      <c r="M165" s="83">
        <f t="shared" si="36"/>
        <v>434875.54000000004</v>
      </c>
      <c r="N165" s="83">
        <f t="shared" si="36"/>
        <v>497786.23</v>
      </c>
      <c r="O165" s="83">
        <f t="shared" si="36"/>
        <v>599586.94000000006</v>
      </c>
      <c r="P165" s="83">
        <f t="shared" si="36"/>
        <v>498701.35</v>
      </c>
      <c r="Q165" s="83">
        <f t="shared" si="36"/>
        <v>538018.41999999993</v>
      </c>
      <c r="R165" s="83">
        <f t="shared" si="36"/>
        <v>551902.79</v>
      </c>
      <c r="S165" s="4">
        <f t="shared" si="36"/>
        <v>564217.18000000005</v>
      </c>
      <c r="T165" s="4">
        <f t="shared" si="36"/>
        <v>645999.05000000005</v>
      </c>
      <c r="U165" s="4">
        <f t="shared" si="36"/>
        <v>736614.44</v>
      </c>
      <c r="V165" s="77"/>
      <c r="W165" s="82"/>
      <c r="X165" s="4"/>
      <c r="Y165" s="4"/>
      <c r="Z165" s="4"/>
      <c r="AA165" s="83"/>
      <c r="AB165" s="83"/>
      <c r="AC165" s="83"/>
      <c r="AD165" s="4"/>
      <c r="AH165" s="23">
        <f>AH$510</f>
        <v>6587993.7699999996</v>
      </c>
      <c r="AJ165" s="23">
        <f>AJ$510</f>
        <v>-28717.429999999702</v>
      </c>
    </row>
    <row r="166" spans="1:43" x14ac:dyDescent="0.2">
      <c r="A166" s="253" t="str">
        <f t="shared" ref="A166:U166" si="37">A$511</f>
        <v>Diocesan Total 2021</v>
      </c>
      <c r="B166" s="253">
        <f t="shared" si="37"/>
        <v>0</v>
      </c>
      <c r="C166" s="253">
        <f t="shared" si="37"/>
        <v>0</v>
      </c>
      <c r="D166" s="259">
        <f t="shared" si="37"/>
        <v>0</v>
      </c>
      <c r="E166" s="253">
        <f t="shared" si="37"/>
        <v>0</v>
      </c>
      <c r="F166" s="253">
        <f t="shared" si="37"/>
        <v>0</v>
      </c>
      <c r="G166" s="206">
        <f t="shared" si="37"/>
        <v>8132853</v>
      </c>
      <c r="H166" s="206">
        <f t="shared" si="37"/>
        <v>6587993.7700000005</v>
      </c>
      <c r="I166" s="207">
        <f t="shared" si="37"/>
        <v>0.81</v>
      </c>
      <c r="J166" s="206">
        <f t="shared" si="37"/>
        <v>340336.86</v>
      </c>
      <c r="K166" s="206">
        <f t="shared" si="37"/>
        <v>407387.73</v>
      </c>
      <c r="L166" s="206">
        <f t="shared" si="37"/>
        <v>497955.59</v>
      </c>
      <c r="M166" s="206">
        <f t="shared" si="37"/>
        <v>513800.89999999997</v>
      </c>
      <c r="N166" s="206">
        <f t="shared" si="37"/>
        <v>483760.16000000003</v>
      </c>
      <c r="O166" s="206">
        <f t="shared" si="37"/>
        <v>527451.71000000008</v>
      </c>
      <c r="P166" s="206">
        <f t="shared" si="37"/>
        <v>582882.6100000001</v>
      </c>
      <c r="Q166" s="206">
        <f t="shared" si="37"/>
        <v>489302.35</v>
      </c>
      <c r="R166" s="206">
        <f t="shared" si="37"/>
        <v>548459.72</v>
      </c>
      <c r="S166" s="206">
        <f t="shared" si="37"/>
        <v>527708.16999999993</v>
      </c>
      <c r="T166" s="206">
        <f t="shared" si="37"/>
        <v>616975.80999999994</v>
      </c>
      <c r="U166" s="206">
        <f t="shared" si="37"/>
        <v>907302.59</v>
      </c>
      <c r="V166" s="206"/>
      <c r="W166" s="206"/>
      <c r="X166" s="206"/>
      <c r="Y166" s="4"/>
      <c r="Z166" s="4"/>
      <c r="AA166" s="206"/>
      <c r="AB166" s="206"/>
      <c r="AC166" s="206"/>
      <c r="AJ166" s="23"/>
    </row>
    <row r="167" spans="1:43" ht="15.75" x14ac:dyDescent="0.25">
      <c r="G167" s="196" t="s">
        <v>10</v>
      </c>
      <c r="X167" s="79"/>
      <c r="Y167" s="4"/>
      <c r="Z167" s="4"/>
      <c r="AH167" s="171" t="s">
        <v>1136</v>
      </c>
      <c r="AI167" s="172"/>
      <c r="AJ167" s="171" t="s">
        <v>1064</v>
      </c>
    </row>
    <row r="168" spans="1:43" x14ac:dyDescent="0.2">
      <c r="Y168" s="4"/>
      <c r="Z168" s="4"/>
      <c r="AH168" s="171" t="s">
        <v>1137</v>
      </c>
      <c r="AI168" s="172"/>
      <c r="AJ168" s="171" t="s">
        <v>1138</v>
      </c>
    </row>
    <row r="169" spans="1:43" ht="16.5" x14ac:dyDescent="0.25">
      <c r="A169" s="250"/>
      <c r="B169" s="8"/>
      <c r="C169" s="8"/>
      <c r="E169" s="8"/>
      <c r="F169" s="8"/>
      <c r="G169" s="208" t="str">
        <f>$G$3</f>
        <v>2022 PARISH SHARE INFORMATION AS AT 31 DECEMBER 2022</v>
      </c>
      <c r="H169" s="209"/>
      <c r="W169" s="194"/>
      <c r="X169"/>
      <c r="Y169" s="4"/>
      <c r="Z169" s="4"/>
      <c r="AA169"/>
      <c r="AB169"/>
      <c r="AC169"/>
      <c r="AH169" s="172"/>
      <c r="AI169" s="172"/>
      <c r="AJ169" s="171" t="s">
        <v>1139</v>
      </c>
    </row>
    <row r="170" spans="1:43" x14ac:dyDescent="0.2">
      <c r="A170" s="250"/>
      <c r="G170" s="205"/>
      <c r="H170" s="197"/>
      <c r="W170" s="194"/>
      <c r="X170"/>
      <c r="Y170" s="4"/>
      <c r="Z170" s="4"/>
      <c r="AA170"/>
      <c r="AB170"/>
      <c r="AC170"/>
    </row>
    <row r="171" spans="1:43" ht="16.5" x14ac:dyDescent="0.25">
      <c r="A171" s="251" t="s">
        <v>1</v>
      </c>
      <c r="B171" s="151" t="str">
        <f>$B$5</f>
        <v>RM</v>
      </c>
      <c r="C171" s="151" t="str">
        <f>$C$5</f>
        <v>RF</v>
      </c>
      <c r="D171" s="151" t="str">
        <f>$D$5</f>
        <v>Accts</v>
      </c>
      <c r="E171" s="151"/>
      <c r="F171" s="151" t="str">
        <f>$F$5</f>
        <v>Share DD</v>
      </c>
      <c r="G171" s="210" t="str">
        <f>$G$5</f>
        <v xml:space="preserve">2022 Share </v>
      </c>
      <c r="H171" s="211" t="str">
        <f>$H$5</f>
        <v xml:space="preserve">2022 Paid </v>
      </c>
      <c r="I171" s="211" t="str">
        <f>$I$5</f>
        <v xml:space="preserve">% Paid </v>
      </c>
      <c r="J171" s="212">
        <f>$J$5</f>
        <v>44592</v>
      </c>
      <c r="K171" s="212">
        <f>$K$5</f>
        <v>44620</v>
      </c>
      <c r="L171" s="212">
        <f>$L$5</f>
        <v>44651</v>
      </c>
      <c r="M171" s="212">
        <f>$M$5</f>
        <v>44681</v>
      </c>
      <c r="N171" s="212">
        <f>$N$5</f>
        <v>44712</v>
      </c>
      <c r="O171" s="212">
        <f>$O$5</f>
        <v>44742</v>
      </c>
      <c r="P171" s="212">
        <f>$P$5</f>
        <v>44773</v>
      </c>
      <c r="Q171" s="212">
        <f>$Q$5</f>
        <v>44804</v>
      </c>
      <c r="R171" s="212">
        <f>$R$5</f>
        <v>44834</v>
      </c>
      <c r="S171" s="155">
        <f>$S$5</f>
        <v>44865</v>
      </c>
      <c r="T171" s="155">
        <f>$T$5</f>
        <v>44895</v>
      </c>
      <c r="U171" s="155">
        <f>$U$5</f>
        <v>44926</v>
      </c>
      <c r="V171" s="78"/>
      <c r="W171" s="195" t="str">
        <f>$W$5</f>
        <v xml:space="preserve">Outstanding </v>
      </c>
      <c r="X171" s="2"/>
      <c r="Y171" s="4"/>
      <c r="Z171" s="4"/>
      <c r="AA171" s="2">
        <f>$AA$5</f>
        <v>44957</v>
      </c>
      <c r="AB171" s="2">
        <f>$AB$5</f>
        <v>44985</v>
      </c>
      <c r="AC171" s="2">
        <f>$AC$5</f>
        <v>45016</v>
      </c>
      <c r="AE171" s="152" t="str">
        <f>$AE$5</f>
        <v>Benefice</v>
      </c>
      <c r="AH171" s="16" t="s">
        <v>1141</v>
      </c>
      <c r="AJ171" s="170" t="s">
        <v>1140</v>
      </c>
      <c r="AQ171" s="222">
        <f>AQ5</f>
        <v>44588</v>
      </c>
    </row>
    <row r="172" spans="1:43" ht="16.5" x14ac:dyDescent="0.25">
      <c r="A172" s="250"/>
      <c r="G172" s="201" t="s">
        <v>1040</v>
      </c>
      <c r="H172" s="202" t="s">
        <v>1040</v>
      </c>
      <c r="I172" s="203"/>
      <c r="J172" s="202" t="s">
        <v>1040</v>
      </c>
      <c r="K172" s="202" t="s">
        <v>1040</v>
      </c>
      <c r="L172" s="202" t="s">
        <v>1040</v>
      </c>
      <c r="M172" s="202" t="s">
        <v>1040</v>
      </c>
      <c r="N172" s="202" t="s">
        <v>1040</v>
      </c>
      <c r="O172" s="202" t="s">
        <v>1040</v>
      </c>
      <c r="P172" s="202" t="s">
        <v>1040</v>
      </c>
      <c r="Q172" s="202" t="s">
        <v>1040</v>
      </c>
      <c r="R172" s="202" t="s">
        <v>1040</v>
      </c>
      <c r="S172" s="147" t="s">
        <v>1040</v>
      </c>
      <c r="T172" s="147" t="s">
        <v>1040</v>
      </c>
      <c r="U172" s="147" t="s">
        <v>1040</v>
      </c>
      <c r="W172" s="194"/>
      <c r="X172"/>
      <c r="Y172" s="4"/>
      <c r="Z172" s="4"/>
      <c r="AA172"/>
      <c r="AB172"/>
      <c r="AC172"/>
      <c r="AJ172" s="23"/>
    </row>
    <row r="173" spans="1:43" x14ac:dyDescent="0.2">
      <c r="Y173" s="4"/>
      <c r="Z173" s="4"/>
      <c r="AJ173" s="23"/>
    </row>
    <row r="174" spans="1:43" x14ac:dyDescent="0.2">
      <c r="A174" s="226" t="s">
        <v>131</v>
      </c>
      <c r="B174" s="9" t="s">
        <v>495</v>
      </c>
      <c r="C174" s="9">
        <v>0</v>
      </c>
      <c r="D174" s="9" t="s">
        <v>495</v>
      </c>
      <c r="E174" s="9"/>
      <c r="F174" s="9">
        <v>0</v>
      </c>
      <c r="G174" s="83">
        <v>7823</v>
      </c>
      <c r="H174" s="83">
        <f t="shared" ref="H174:H216" si="38">SUM(J174:U174)+SUM(AA174:AC174)</f>
        <v>2700</v>
      </c>
      <c r="I174" s="133">
        <f t="shared" ref="I174:I216" si="39">ROUND((H174/G174),4)</f>
        <v>0.34510000000000002</v>
      </c>
      <c r="J174" s="82">
        <v>225</v>
      </c>
      <c r="K174" s="82">
        <v>225</v>
      </c>
      <c r="L174" s="82">
        <v>225</v>
      </c>
      <c r="M174" s="82">
        <v>225</v>
      </c>
      <c r="N174" s="82">
        <v>225</v>
      </c>
      <c r="O174" s="82">
        <v>225</v>
      </c>
      <c r="P174" s="82">
        <v>225</v>
      </c>
      <c r="Q174" s="82">
        <v>225</v>
      </c>
      <c r="R174" s="82">
        <v>225</v>
      </c>
      <c r="S174" s="23">
        <v>225</v>
      </c>
      <c r="T174" s="23">
        <v>225</v>
      </c>
      <c r="U174" s="23">
        <v>225</v>
      </c>
      <c r="V174" s="7" t="s">
        <v>610</v>
      </c>
      <c r="W174" s="82">
        <f t="shared" ref="W174:W216" si="40">G174-H174</f>
        <v>5123</v>
      </c>
      <c r="X174" s="4"/>
      <c r="Y174" s="4"/>
      <c r="Z174" s="4"/>
      <c r="AA174" s="82"/>
      <c r="AB174" s="82"/>
      <c r="AC174" s="82"/>
      <c r="AD174" s="23"/>
      <c r="AE174" s="7" t="s">
        <v>419</v>
      </c>
      <c r="AH174" s="23">
        <f>SUM('2021 Detail'!J167:U167)+SUM('2021 Detail'!AA167:AC167)</f>
        <v>3523</v>
      </c>
      <c r="AJ174" s="23">
        <f t="shared" si="33"/>
        <v>-823</v>
      </c>
      <c r="AL174" t="str">
        <f t="shared" ref="AL174:AL216" si="41">IF(AJ174&lt;0,"Down",IF(AJ174&gt;0,"Up","Same"))</f>
        <v>Down</v>
      </c>
      <c r="AQ174" s="23">
        <v>1048</v>
      </c>
    </row>
    <row r="175" spans="1:43" x14ac:dyDescent="0.2">
      <c r="A175" s="226" t="s">
        <v>133</v>
      </c>
      <c r="B175" s="9" t="s">
        <v>495</v>
      </c>
      <c r="C175" s="9">
        <v>0</v>
      </c>
      <c r="D175" s="9">
        <v>0</v>
      </c>
      <c r="E175" s="9"/>
      <c r="F175" s="9">
        <v>0</v>
      </c>
      <c r="G175" s="83">
        <v>8340</v>
      </c>
      <c r="H175" s="83">
        <f t="shared" si="38"/>
        <v>122</v>
      </c>
      <c r="I175" s="133">
        <f t="shared" si="39"/>
        <v>1.46E-2</v>
      </c>
      <c r="J175" s="82">
        <v>122</v>
      </c>
      <c r="K175" s="82"/>
      <c r="L175" s="82"/>
      <c r="M175" s="82"/>
      <c r="N175" s="82"/>
      <c r="O175" s="82"/>
      <c r="P175" s="82"/>
      <c r="Q175" s="82"/>
      <c r="R175" s="82"/>
      <c r="S175" s="23"/>
      <c r="T175" s="23"/>
      <c r="U175" s="23"/>
      <c r="V175" s="7" t="s">
        <v>612</v>
      </c>
      <c r="W175" s="82">
        <f t="shared" si="40"/>
        <v>8218</v>
      </c>
      <c r="Y175" s="4"/>
      <c r="Z175" s="4"/>
      <c r="AA175" s="82"/>
      <c r="AB175" s="82"/>
      <c r="AC175" s="82"/>
      <c r="AD175" s="23"/>
      <c r="AE175" s="7" t="s">
        <v>419</v>
      </c>
      <c r="AH175" s="23">
        <f>SUM('2021 Detail'!J169:U169)+SUM('2021 Detail'!AA169:AC169)</f>
        <v>8326</v>
      </c>
      <c r="AJ175" s="23">
        <f t="shared" si="33"/>
        <v>-8204</v>
      </c>
      <c r="AL175" t="str">
        <f t="shared" si="41"/>
        <v>Down</v>
      </c>
    </row>
    <row r="176" spans="1:43" x14ac:dyDescent="0.2">
      <c r="A176" s="226" t="s">
        <v>134</v>
      </c>
      <c r="B176" s="9" t="s">
        <v>495</v>
      </c>
      <c r="C176" s="9" t="s">
        <v>495</v>
      </c>
      <c r="D176" s="9" t="s">
        <v>495</v>
      </c>
      <c r="E176" s="9"/>
      <c r="F176" s="9" t="s">
        <v>495</v>
      </c>
      <c r="G176" s="83">
        <v>7876</v>
      </c>
      <c r="H176" s="83">
        <f t="shared" si="38"/>
        <v>7875.9999999999982</v>
      </c>
      <c r="I176" s="133">
        <f t="shared" si="39"/>
        <v>1</v>
      </c>
      <c r="J176" s="82">
        <v>655.24</v>
      </c>
      <c r="K176" s="82">
        <v>655.16</v>
      </c>
      <c r="L176" s="82">
        <v>656.56</v>
      </c>
      <c r="M176" s="82">
        <v>656.56</v>
      </c>
      <c r="N176" s="82">
        <v>656.56</v>
      </c>
      <c r="O176" s="82">
        <v>656.56</v>
      </c>
      <c r="P176" s="82">
        <v>656.56</v>
      </c>
      <c r="Q176" s="82">
        <v>656.56</v>
      </c>
      <c r="R176" s="82">
        <v>656.56</v>
      </c>
      <c r="S176" s="23">
        <v>656.56</v>
      </c>
      <c r="T176" s="23">
        <v>656.56</v>
      </c>
      <c r="U176" s="23">
        <v>656.56</v>
      </c>
      <c r="V176" s="7" t="s">
        <v>613</v>
      </c>
      <c r="W176" s="82">
        <f t="shared" si="40"/>
        <v>0</v>
      </c>
      <c r="Y176" s="4"/>
      <c r="Z176" s="4"/>
      <c r="AA176" s="82"/>
      <c r="AB176" s="82"/>
      <c r="AC176" s="82"/>
      <c r="AD176" s="23"/>
      <c r="AE176" s="7" t="s">
        <v>419</v>
      </c>
      <c r="AH176" s="23">
        <f>SUM('2021 Detail'!J170:U170)+SUM('2021 Detail'!AA170:AC170)</f>
        <v>7861.9999999999991</v>
      </c>
      <c r="AJ176" s="23">
        <f t="shared" si="33"/>
        <v>13.999999999999091</v>
      </c>
      <c r="AL176" t="str">
        <f t="shared" si="41"/>
        <v>Up</v>
      </c>
      <c r="AQ176" s="23">
        <v>655.16</v>
      </c>
    </row>
    <row r="177" spans="1:43" x14ac:dyDescent="0.2">
      <c r="A177" s="226" t="s">
        <v>135</v>
      </c>
      <c r="B177" s="9" t="s">
        <v>495</v>
      </c>
      <c r="C177" s="9" t="s">
        <v>495</v>
      </c>
      <c r="D177" s="9" t="s">
        <v>495</v>
      </c>
      <c r="E177" s="9"/>
      <c r="F177" s="9">
        <v>0</v>
      </c>
      <c r="G177" s="83">
        <v>18444</v>
      </c>
      <c r="H177" s="83">
        <f t="shared" si="38"/>
        <v>12000</v>
      </c>
      <c r="I177" s="133">
        <f t="shared" si="39"/>
        <v>0.65059999999999996</v>
      </c>
      <c r="J177" s="82"/>
      <c r="K177" s="82"/>
      <c r="L177" s="82">
        <v>3000</v>
      </c>
      <c r="M177" s="82">
        <v>1000</v>
      </c>
      <c r="N177" s="82">
        <v>1000</v>
      </c>
      <c r="O177" s="82">
        <v>1000</v>
      </c>
      <c r="P177" s="82">
        <v>1000</v>
      </c>
      <c r="Q177" s="82">
        <v>1000</v>
      </c>
      <c r="R177" s="82">
        <v>1000</v>
      </c>
      <c r="S177" s="23">
        <v>1000</v>
      </c>
      <c r="T177" s="23">
        <v>1000</v>
      </c>
      <c r="U177" s="23">
        <v>1000</v>
      </c>
      <c r="V177" s="7" t="s">
        <v>614</v>
      </c>
      <c r="W177" s="82">
        <f t="shared" si="40"/>
        <v>6444</v>
      </c>
      <c r="Y177" s="4"/>
      <c r="Z177" s="4"/>
      <c r="AA177" s="82"/>
      <c r="AB177" s="82"/>
      <c r="AC177" s="82"/>
      <c r="AD177" s="23"/>
      <c r="AE177" s="7" t="s">
        <v>419</v>
      </c>
      <c r="AH177" s="23">
        <f>SUM('2021 Detail'!J171:U171)+SUM('2021 Detail'!AA171:AC171)</f>
        <v>11175</v>
      </c>
      <c r="AJ177" s="23">
        <f t="shared" si="33"/>
        <v>825</v>
      </c>
      <c r="AL177" t="str">
        <f t="shared" si="41"/>
        <v>Up</v>
      </c>
      <c r="AQ177" s="23">
        <v>500</v>
      </c>
    </row>
    <row r="178" spans="1:43" x14ac:dyDescent="0.2">
      <c r="A178" s="226" t="s">
        <v>136</v>
      </c>
      <c r="B178" s="9" t="s">
        <v>495</v>
      </c>
      <c r="C178" s="9" t="s">
        <v>495</v>
      </c>
      <c r="D178" s="9">
        <v>0</v>
      </c>
      <c r="E178" s="9"/>
      <c r="F178" s="9">
        <v>0</v>
      </c>
      <c r="G178" s="83">
        <v>53996</v>
      </c>
      <c r="H178" s="83">
        <f t="shared" si="38"/>
        <v>43000</v>
      </c>
      <c r="I178" s="133">
        <f t="shared" si="39"/>
        <v>0.7964</v>
      </c>
      <c r="J178" s="82"/>
      <c r="K178" s="82">
        <v>7000</v>
      </c>
      <c r="L178" s="82">
        <v>2561</v>
      </c>
      <c r="M178" s="82"/>
      <c r="N178" s="82"/>
      <c r="O178" s="82">
        <v>-2561</v>
      </c>
      <c r="P178" s="82"/>
      <c r="Q178" s="82"/>
      <c r="R178" s="82"/>
      <c r="S178" s="23"/>
      <c r="T178" s="23">
        <v>30000</v>
      </c>
      <c r="U178" s="23">
        <v>6000</v>
      </c>
      <c r="V178" s="7" t="s">
        <v>615</v>
      </c>
      <c r="W178" s="82">
        <f t="shared" si="40"/>
        <v>10996</v>
      </c>
      <c r="Y178" s="4"/>
      <c r="Z178" s="4"/>
      <c r="AA178" s="82"/>
      <c r="AB178" s="82"/>
      <c r="AC178" s="82"/>
      <c r="AD178" s="23"/>
      <c r="AE178" s="7" t="s">
        <v>420</v>
      </c>
      <c r="AH178" s="23">
        <f>SUM('2021 Detail'!J172:U172)+SUM('2021 Detail'!AA172:AC172)</f>
        <v>29312</v>
      </c>
      <c r="AJ178" s="23">
        <f t="shared" si="33"/>
        <v>13688</v>
      </c>
      <c r="AL178" t="str">
        <f t="shared" si="41"/>
        <v>Up</v>
      </c>
    </row>
    <row r="179" spans="1:43" x14ac:dyDescent="0.2">
      <c r="A179" s="226" t="s">
        <v>137</v>
      </c>
      <c r="B179" s="9" t="s">
        <v>495</v>
      </c>
      <c r="C179" s="9" t="s">
        <v>495</v>
      </c>
      <c r="D179" s="9" t="s">
        <v>495</v>
      </c>
      <c r="E179" s="9"/>
      <c r="F179" s="9" t="s">
        <v>495</v>
      </c>
      <c r="G179" s="83">
        <v>13500</v>
      </c>
      <c r="H179" s="83">
        <f t="shared" si="38"/>
        <v>13500</v>
      </c>
      <c r="I179" s="133">
        <f t="shared" si="39"/>
        <v>1</v>
      </c>
      <c r="J179" s="82">
        <v>1000</v>
      </c>
      <c r="K179" s="82">
        <v>1000</v>
      </c>
      <c r="L179" s="82">
        <v>1000</v>
      </c>
      <c r="M179" s="82">
        <v>1000</v>
      </c>
      <c r="N179" s="82">
        <v>1000</v>
      </c>
      <c r="O179" s="82">
        <v>1000</v>
      </c>
      <c r="P179" s="82">
        <v>1000</v>
      </c>
      <c r="Q179" s="82">
        <v>1000</v>
      </c>
      <c r="R179" s="82">
        <v>1000</v>
      </c>
      <c r="S179" s="23">
        <v>1000</v>
      </c>
      <c r="T179" s="23">
        <v>1000</v>
      </c>
      <c r="U179" s="23">
        <v>2500</v>
      </c>
      <c r="V179" s="7" t="s">
        <v>616</v>
      </c>
      <c r="W179" s="82">
        <f t="shared" si="40"/>
        <v>0</v>
      </c>
      <c r="Y179" s="4"/>
      <c r="Z179" s="4"/>
      <c r="AA179" s="82"/>
      <c r="AB179" s="82"/>
      <c r="AC179" s="82"/>
      <c r="AD179" s="23"/>
      <c r="AE179" s="7" t="s">
        <v>420</v>
      </c>
      <c r="AH179" s="23">
        <f>SUM('2021 Detail'!J173:U173)+SUM('2021 Detail'!AA173:AC173)</f>
        <v>13800</v>
      </c>
      <c r="AJ179" s="23">
        <f t="shared" si="33"/>
        <v>-300</v>
      </c>
      <c r="AL179" t="str">
        <f t="shared" si="41"/>
        <v>Down</v>
      </c>
      <c r="AQ179" s="23">
        <v>2800</v>
      </c>
    </row>
    <row r="180" spans="1:43" x14ac:dyDescent="0.2">
      <c r="A180" s="226" t="s">
        <v>138</v>
      </c>
      <c r="B180" s="9">
        <v>0</v>
      </c>
      <c r="C180" s="9" t="s">
        <v>495</v>
      </c>
      <c r="D180" s="9" t="s">
        <v>495</v>
      </c>
      <c r="E180" s="9"/>
      <c r="F180" s="9">
        <v>0</v>
      </c>
      <c r="G180" s="83">
        <v>8956</v>
      </c>
      <c r="H180" s="83">
        <f t="shared" si="38"/>
        <v>8956</v>
      </c>
      <c r="I180" s="133">
        <f t="shared" si="39"/>
        <v>1</v>
      </c>
      <c r="J180" s="82"/>
      <c r="K180" s="82"/>
      <c r="L180" s="82">
        <v>2239</v>
      </c>
      <c r="M180" s="82"/>
      <c r="N180" s="82">
        <v>2239</v>
      </c>
      <c r="O180" s="82"/>
      <c r="P180" s="82"/>
      <c r="Q180" s="82"/>
      <c r="R180" s="82">
        <v>2239</v>
      </c>
      <c r="S180" s="23"/>
      <c r="T180" s="23">
        <v>2239</v>
      </c>
      <c r="U180" s="23"/>
      <c r="V180" s="7" t="s">
        <v>617</v>
      </c>
      <c r="W180" s="82">
        <f t="shared" si="40"/>
        <v>0</v>
      </c>
      <c r="Y180" s="4"/>
      <c r="Z180" s="4"/>
      <c r="AA180" s="82"/>
      <c r="AB180" s="82"/>
      <c r="AC180" s="82"/>
      <c r="AD180" s="23"/>
      <c r="AE180" s="7" t="s">
        <v>421</v>
      </c>
      <c r="AH180" s="23">
        <f>SUM('2021 Detail'!J174:U174)+SUM('2021 Detail'!AA174:AC174)</f>
        <v>8956</v>
      </c>
      <c r="AJ180" s="23">
        <f t="shared" si="33"/>
        <v>0</v>
      </c>
      <c r="AL180" t="str">
        <f t="shared" si="41"/>
        <v>Same</v>
      </c>
    </row>
    <row r="181" spans="1:43" x14ac:dyDescent="0.2">
      <c r="A181" s="226" t="s">
        <v>139</v>
      </c>
      <c r="B181" s="9" t="s">
        <v>495</v>
      </c>
      <c r="C181" s="9" t="s">
        <v>495</v>
      </c>
      <c r="D181" s="9">
        <v>0</v>
      </c>
      <c r="E181" s="9"/>
      <c r="F181" s="9">
        <v>0</v>
      </c>
      <c r="G181" s="83">
        <v>5866</v>
      </c>
      <c r="H181" s="83">
        <f t="shared" si="38"/>
        <v>5866</v>
      </c>
      <c r="I181" s="133">
        <f t="shared" si="39"/>
        <v>1</v>
      </c>
      <c r="J181" s="82"/>
      <c r="K181" s="82"/>
      <c r="L181" s="82">
        <v>1000</v>
      </c>
      <c r="M181" s="82"/>
      <c r="N181" s="82">
        <v>1000</v>
      </c>
      <c r="O181" s="82">
        <v>1000</v>
      </c>
      <c r="P181" s="82"/>
      <c r="Q181" s="82">
        <v>1000</v>
      </c>
      <c r="R181" s="82"/>
      <c r="S181" s="23"/>
      <c r="T181" s="23">
        <v>1000</v>
      </c>
      <c r="U181" s="23">
        <v>866</v>
      </c>
      <c r="V181" s="7" t="s">
        <v>618</v>
      </c>
      <c r="W181" s="82">
        <f t="shared" si="40"/>
        <v>0</v>
      </c>
      <c r="Y181" s="4"/>
      <c r="Z181" s="4"/>
      <c r="AA181" s="82"/>
      <c r="AB181" s="82"/>
      <c r="AC181" s="82"/>
      <c r="AD181" s="23"/>
      <c r="AE181" s="7" t="s">
        <v>421</v>
      </c>
      <c r="AH181" s="23">
        <f>SUM('2021 Detail'!J175:U175)+SUM('2021 Detail'!AA175:AC175)</f>
        <v>6091</v>
      </c>
      <c r="AJ181" s="23">
        <f t="shared" si="33"/>
        <v>-225</v>
      </c>
      <c r="AL181" t="str">
        <f t="shared" si="41"/>
        <v>Down</v>
      </c>
    </row>
    <row r="182" spans="1:43" x14ac:dyDescent="0.2">
      <c r="A182" s="226" t="s">
        <v>140</v>
      </c>
      <c r="B182" s="9" t="s">
        <v>495</v>
      </c>
      <c r="C182" s="9" t="s">
        <v>495</v>
      </c>
      <c r="D182" s="9" t="s">
        <v>495</v>
      </c>
      <c r="E182" s="9"/>
      <c r="F182" s="9">
        <v>0</v>
      </c>
      <c r="G182" s="83">
        <v>8061</v>
      </c>
      <c r="H182" s="83">
        <f t="shared" si="38"/>
        <v>8061</v>
      </c>
      <c r="I182" s="133">
        <f t="shared" si="39"/>
        <v>1</v>
      </c>
      <c r="J182" s="82">
        <v>250</v>
      </c>
      <c r="K182" s="82">
        <v>250</v>
      </c>
      <c r="L182" s="82">
        <v>250</v>
      </c>
      <c r="M182" s="82">
        <v>250</v>
      </c>
      <c r="N182" s="82">
        <v>250</v>
      </c>
      <c r="O182" s="82">
        <v>250</v>
      </c>
      <c r="P182" s="82">
        <v>250</v>
      </c>
      <c r="Q182" s="82">
        <v>250</v>
      </c>
      <c r="R182" s="82">
        <v>250</v>
      </c>
      <c r="S182" s="23">
        <v>250</v>
      </c>
      <c r="T182" s="23">
        <v>250</v>
      </c>
      <c r="U182" s="23">
        <v>5311</v>
      </c>
      <c r="V182" s="7" t="s">
        <v>619</v>
      </c>
      <c r="W182" s="82">
        <f t="shared" si="40"/>
        <v>0</v>
      </c>
      <c r="Y182" s="4"/>
      <c r="Z182" s="4"/>
      <c r="AA182" s="82"/>
      <c r="AB182" s="82"/>
      <c r="AC182" s="82"/>
      <c r="AD182" s="23"/>
      <c r="AE182" s="7" t="s">
        <v>421</v>
      </c>
      <c r="AH182" s="23">
        <f>SUM('2021 Detail'!J176:U176)+SUM('2021 Detail'!AA176:AC176)</f>
        <v>8061</v>
      </c>
      <c r="AJ182" s="23">
        <f t="shared" si="33"/>
        <v>0</v>
      </c>
      <c r="AL182" t="str">
        <f t="shared" si="41"/>
        <v>Same</v>
      </c>
      <c r="AQ182" s="23">
        <v>5311</v>
      </c>
    </row>
    <row r="183" spans="1:43" x14ac:dyDescent="0.2">
      <c r="A183" s="226" t="s">
        <v>141</v>
      </c>
      <c r="B183" s="9" t="s">
        <v>495</v>
      </c>
      <c r="C183" s="9" t="s">
        <v>495</v>
      </c>
      <c r="D183" s="9">
        <v>0</v>
      </c>
      <c r="E183" s="9"/>
      <c r="F183" s="9">
        <v>0</v>
      </c>
      <c r="G183" s="83">
        <v>15023</v>
      </c>
      <c r="H183" s="83">
        <f t="shared" si="38"/>
        <v>2000</v>
      </c>
      <c r="I183" s="133">
        <f t="shared" si="39"/>
        <v>0.1331</v>
      </c>
      <c r="J183" s="82"/>
      <c r="K183" s="82"/>
      <c r="L183" s="82"/>
      <c r="M183" s="82"/>
      <c r="N183" s="82"/>
      <c r="O183" s="82"/>
      <c r="P183" s="82"/>
      <c r="Q183" s="82"/>
      <c r="R183" s="82"/>
      <c r="S183" s="23"/>
      <c r="T183" s="23">
        <v>2000</v>
      </c>
      <c r="U183" s="23"/>
      <c r="V183" s="7" t="s">
        <v>620</v>
      </c>
      <c r="W183" s="82">
        <f t="shared" si="40"/>
        <v>13023</v>
      </c>
      <c r="Y183" s="4"/>
      <c r="Z183" s="4"/>
      <c r="AA183" s="82"/>
      <c r="AB183" s="82"/>
      <c r="AC183" s="82"/>
      <c r="AD183" s="23"/>
      <c r="AE183" s="7" t="s">
        <v>427</v>
      </c>
      <c r="AH183" s="23">
        <f>SUM('2021 Detail'!J177:U177)+SUM('2021 Detail'!AA177:AC177)</f>
        <v>6000</v>
      </c>
      <c r="AJ183" s="23">
        <f t="shared" si="33"/>
        <v>-4000</v>
      </c>
      <c r="AL183" t="str">
        <f t="shared" si="41"/>
        <v>Down</v>
      </c>
      <c r="AQ183" s="23">
        <v>1000</v>
      </c>
    </row>
    <row r="184" spans="1:43" x14ac:dyDescent="0.2">
      <c r="A184" s="226" t="s">
        <v>142</v>
      </c>
      <c r="B184" s="9" t="s">
        <v>495</v>
      </c>
      <c r="C184" s="9" t="s">
        <v>495</v>
      </c>
      <c r="D184" s="9" t="s">
        <v>495</v>
      </c>
      <c r="E184" s="9"/>
      <c r="F184" s="9">
        <v>0</v>
      </c>
      <c r="G184" s="83">
        <v>16050</v>
      </c>
      <c r="H184" s="83">
        <f t="shared" si="38"/>
        <v>5000</v>
      </c>
      <c r="I184" s="133">
        <f t="shared" si="39"/>
        <v>0.3115</v>
      </c>
      <c r="J184" s="82"/>
      <c r="K184" s="82"/>
      <c r="L184" s="82"/>
      <c r="M184" s="82"/>
      <c r="N184" s="82"/>
      <c r="O184" s="82">
        <v>5000</v>
      </c>
      <c r="P184" s="82"/>
      <c r="Q184" s="82"/>
      <c r="R184" s="82"/>
      <c r="S184" s="23"/>
      <c r="T184" s="23"/>
      <c r="U184" s="23"/>
      <c r="V184" s="7" t="s">
        <v>621</v>
      </c>
      <c r="W184" s="82">
        <f t="shared" si="40"/>
        <v>11050</v>
      </c>
      <c r="Y184" s="4"/>
      <c r="Z184" s="4"/>
      <c r="AA184" s="82"/>
      <c r="AB184" s="82"/>
      <c r="AC184" s="82"/>
      <c r="AD184" s="23"/>
      <c r="AE184" s="7" t="s">
        <v>427</v>
      </c>
      <c r="AH184" s="23">
        <f>SUM('2021 Detail'!J178:U178)+SUM('2021 Detail'!AA178:AC178)</f>
        <v>5000</v>
      </c>
      <c r="AJ184" s="23">
        <f t="shared" si="33"/>
        <v>0</v>
      </c>
      <c r="AL184" t="str">
        <f t="shared" si="41"/>
        <v>Same</v>
      </c>
    </row>
    <row r="185" spans="1:43" x14ac:dyDescent="0.2">
      <c r="A185" s="226" t="s">
        <v>143</v>
      </c>
      <c r="B185" s="9">
        <v>0</v>
      </c>
      <c r="C185" s="9" t="s">
        <v>495</v>
      </c>
      <c r="D185" s="9" t="s">
        <v>495</v>
      </c>
      <c r="E185" s="9"/>
      <c r="F185" s="9">
        <v>0</v>
      </c>
      <c r="G185" s="83">
        <v>2031</v>
      </c>
      <c r="H185" s="83">
        <f t="shared" si="38"/>
        <v>2031</v>
      </c>
      <c r="I185" s="133">
        <f t="shared" si="39"/>
        <v>1</v>
      </c>
      <c r="J185" s="82"/>
      <c r="K185" s="82"/>
      <c r="L185" s="82"/>
      <c r="M185" s="82"/>
      <c r="N185" s="82"/>
      <c r="O185" s="82">
        <v>2031</v>
      </c>
      <c r="P185" s="82"/>
      <c r="Q185" s="82"/>
      <c r="R185" s="82"/>
      <c r="S185" s="23"/>
      <c r="T185" s="23"/>
      <c r="U185" s="23"/>
      <c r="V185" s="7" t="s">
        <v>622</v>
      </c>
      <c r="W185" s="82">
        <f t="shared" si="40"/>
        <v>0</v>
      </c>
      <c r="Y185" s="4"/>
      <c r="Z185" s="4"/>
      <c r="AA185" s="82"/>
      <c r="AB185" s="82"/>
      <c r="AC185" s="82"/>
      <c r="AD185" s="23"/>
      <c r="AE185" s="7" t="s">
        <v>427</v>
      </c>
      <c r="AH185" s="23">
        <f>SUM('2021 Detail'!J179:U179)+SUM('2021 Detail'!AA179:AC179)</f>
        <v>2031</v>
      </c>
      <c r="AJ185" s="23">
        <f t="shared" si="33"/>
        <v>0</v>
      </c>
      <c r="AL185" t="str">
        <f t="shared" si="41"/>
        <v>Same</v>
      </c>
    </row>
    <row r="186" spans="1:43" x14ac:dyDescent="0.2">
      <c r="A186" s="226" t="s">
        <v>144</v>
      </c>
      <c r="B186" s="9" t="s">
        <v>495</v>
      </c>
      <c r="C186" s="9" t="s">
        <v>495</v>
      </c>
      <c r="D186" s="9" t="s">
        <v>495</v>
      </c>
      <c r="E186" s="9"/>
      <c r="F186" s="9">
        <v>0</v>
      </c>
      <c r="G186" s="83">
        <v>1821</v>
      </c>
      <c r="H186" s="83">
        <f t="shared" si="38"/>
        <v>1821</v>
      </c>
      <c r="I186" s="133">
        <f t="shared" si="39"/>
        <v>1</v>
      </c>
      <c r="J186" s="82"/>
      <c r="K186" s="82"/>
      <c r="L186" s="82"/>
      <c r="M186" s="82"/>
      <c r="N186" s="82"/>
      <c r="O186" s="82">
        <v>910.5</v>
      </c>
      <c r="P186" s="82"/>
      <c r="Q186" s="82"/>
      <c r="R186" s="82"/>
      <c r="S186" s="23"/>
      <c r="T186" s="23"/>
      <c r="U186" s="23"/>
      <c r="V186" s="7" t="s">
        <v>623</v>
      </c>
      <c r="W186" s="82">
        <f t="shared" si="40"/>
        <v>0</v>
      </c>
      <c r="Y186" s="4"/>
      <c r="Z186" s="4"/>
      <c r="AA186" s="82">
        <v>910.5</v>
      </c>
      <c r="AB186" s="82"/>
      <c r="AC186" s="82"/>
      <c r="AD186" s="23"/>
      <c r="AE186" s="7" t="s">
        <v>427</v>
      </c>
      <c r="AH186" s="23">
        <f>SUM('2021 Detail'!J180:U180)+SUM('2021 Detail'!AA180:AC180)</f>
        <v>1821</v>
      </c>
      <c r="AJ186" s="23">
        <f t="shared" si="33"/>
        <v>0</v>
      </c>
      <c r="AL186" t="str">
        <f t="shared" si="41"/>
        <v>Same</v>
      </c>
      <c r="AQ186" s="23">
        <v>910.5</v>
      </c>
    </row>
    <row r="187" spans="1:43" x14ac:dyDescent="0.2">
      <c r="A187" s="226" t="s">
        <v>145</v>
      </c>
      <c r="B187" s="9" t="s">
        <v>495</v>
      </c>
      <c r="C187" s="9">
        <v>0</v>
      </c>
      <c r="D187" s="9">
        <v>0</v>
      </c>
      <c r="E187" s="9"/>
      <c r="F187" s="9" t="s">
        <v>495</v>
      </c>
      <c r="G187" s="83">
        <v>6912</v>
      </c>
      <c r="H187" s="83">
        <f t="shared" si="38"/>
        <v>3512.2799999999997</v>
      </c>
      <c r="I187" s="133">
        <f t="shared" si="39"/>
        <v>0.5081</v>
      </c>
      <c r="J187" s="82">
        <v>280</v>
      </c>
      <c r="K187" s="82">
        <v>280</v>
      </c>
      <c r="L187" s="82">
        <v>280</v>
      </c>
      <c r="M187" s="82">
        <v>280</v>
      </c>
      <c r="N187" s="82">
        <v>432.28</v>
      </c>
      <c r="O187" s="82">
        <v>280</v>
      </c>
      <c r="P187" s="82">
        <v>280</v>
      </c>
      <c r="Q187" s="82">
        <v>280</v>
      </c>
      <c r="R187" s="82">
        <v>280</v>
      </c>
      <c r="S187" s="23">
        <v>280</v>
      </c>
      <c r="T187" s="23">
        <v>280</v>
      </c>
      <c r="U187" s="23">
        <v>280</v>
      </c>
      <c r="V187" s="7" t="s">
        <v>624</v>
      </c>
      <c r="W187" s="82">
        <f t="shared" si="40"/>
        <v>3399.7200000000003</v>
      </c>
      <c r="Y187" s="4"/>
      <c r="Z187" s="4"/>
      <c r="AA187" s="82"/>
      <c r="AB187" s="82"/>
      <c r="AC187" s="82"/>
      <c r="AD187" s="23"/>
      <c r="AE187" s="7" t="s">
        <v>423</v>
      </c>
      <c r="AH187" s="23">
        <f>SUM('2021 Detail'!J181:U181)+SUM('2021 Detail'!AA181:AC181)</f>
        <v>2672.2799999999997</v>
      </c>
      <c r="AJ187" s="23">
        <f t="shared" si="33"/>
        <v>840</v>
      </c>
      <c r="AL187" t="str">
        <f t="shared" si="41"/>
        <v>Up</v>
      </c>
      <c r="AQ187" s="23">
        <v>280</v>
      </c>
    </row>
    <row r="188" spans="1:43" x14ac:dyDescent="0.2">
      <c r="A188" s="226" t="s">
        <v>146</v>
      </c>
      <c r="B188" s="9" t="s">
        <v>495</v>
      </c>
      <c r="C188" s="9" t="s">
        <v>495</v>
      </c>
      <c r="D188" s="9" t="s">
        <v>495</v>
      </c>
      <c r="E188" s="9"/>
      <c r="F188" s="9">
        <v>0</v>
      </c>
      <c r="G188" s="83">
        <v>16200</v>
      </c>
      <c r="H188" s="83">
        <f t="shared" si="38"/>
        <v>16199.89</v>
      </c>
      <c r="I188" s="133">
        <f t="shared" si="39"/>
        <v>1</v>
      </c>
      <c r="J188" s="82"/>
      <c r="K188" s="82"/>
      <c r="L188" s="82">
        <v>3500</v>
      </c>
      <c r="M188" s="82"/>
      <c r="N188" s="82">
        <v>356.89</v>
      </c>
      <c r="O188" s="82">
        <v>4000</v>
      </c>
      <c r="P188" s="82"/>
      <c r="Q188" s="82"/>
      <c r="R188" s="82">
        <v>4000</v>
      </c>
      <c r="S188" s="23"/>
      <c r="T188" s="23">
        <f>4031+312</f>
        <v>4343</v>
      </c>
      <c r="U188" s="23"/>
      <c r="V188" s="7" t="s">
        <v>625</v>
      </c>
      <c r="W188" s="82">
        <f t="shared" si="40"/>
        <v>0.11000000000058208</v>
      </c>
      <c r="Y188" s="4"/>
      <c r="Z188" s="4"/>
      <c r="AA188" s="82"/>
      <c r="AB188" s="82"/>
      <c r="AC188" s="82"/>
      <c r="AD188" s="23"/>
      <c r="AE188" s="7" t="s">
        <v>423</v>
      </c>
      <c r="AH188" s="23">
        <f>SUM('2021 Detail'!J182:U182)+SUM('2021 Detail'!AA182:AC182)</f>
        <v>16199.89</v>
      </c>
      <c r="AJ188" s="23">
        <f t="shared" si="33"/>
        <v>0</v>
      </c>
      <c r="AL188" t="str">
        <f t="shared" si="41"/>
        <v>Same</v>
      </c>
      <c r="AQ188" s="23">
        <v>4343</v>
      </c>
    </row>
    <row r="189" spans="1:43" x14ac:dyDescent="0.2">
      <c r="A189" s="226" t="s">
        <v>147</v>
      </c>
      <c r="B189" s="9" t="s">
        <v>495</v>
      </c>
      <c r="C189" s="9" t="s">
        <v>495</v>
      </c>
      <c r="D189" s="9">
        <v>0</v>
      </c>
      <c r="E189" s="9"/>
      <c r="F189" s="9">
        <v>0</v>
      </c>
      <c r="G189" s="83">
        <v>5455</v>
      </c>
      <c r="H189" s="83">
        <f t="shared" si="38"/>
        <v>5455</v>
      </c>
      <c r="I189" s="133">
        <f t="shared" si="39"/>
        <v>1</v>
      </c>
      <c r="J189" s="82"/>
      <c r="K189" s="82"/>
      <c r="L189" s="82"/>
      <c r="M189" s="82"/>
      <c r="N189" s="82">
        <v>3120.17</v>
      </c>
      <c r="O189" s="82"/>
      <c r="P189" s="82"/>
      <c r="Q189" s="82"/>
      <c r="R189" s="82"/>
      <c r="S189" s="23">
        <v>1000</v>
      </c>
      <c r="T189" s="23"/>
      <c r="U189" s="23">
        <v>1334.83</v>
      </c>
      <c r="V189" s="7" t="s">
        <v>626</v>
      </c>
      <c r="W189" s="82">
        <f t="shared" si="40"/>
        <v>0</v>
      </c>
      <c r="Y189" s="4"/>
      <c r="Z189" s="4"/>
      <c r="AA189" s="82"/>
      <c r="AB189" s="82"/>
      <c r="AC189" s="82"/>
      <c r="AD189" s="23"/>
      <c r="AE189" s="7" t="s">
        <v>423</v>
      </c>
      <c r="AH189" s="23">
        <f>SUM('2021 Detail'!J183:U183)+SUM('2021 Detail'!AA183:AC183)</f>
        <v>1120.17</v>
      </c>
      <c r="AJ189" s="23">
        <f t="shared" si="33"/>
        <v>4334.83</v>
      </c>
      <c r="AL189" t="str">
        <f t="shared" si="41"/>
        <v>Up</v>
      </c>
    </row>
    <row r="190" spans="1:43" x14ac:dyDescent="0.2">
      <c r="A190" s="226" t="s">
        <v>148</v>
      </c>
      <c r="B190" s="9" t="s">
        <v>495</v>
      </c>
      <c r="C190" s="9" t="s">
        <v>495</v>
      </c>
      <c r="D190" s="9" t="s">
        <v>495</v>
      </c>
      <c r="E190" s="9"/>
      <c r="F190" s="9">
        <v>0</v>
      </c>
      <c r="G190" s="83">
        <v>28810</v>
      </c>
      <c r="H190" s="83">
        <f t="shared" si="38"/>
        <v>28810</v>
      </c>
      <c r="I190" s="133">
        <f t="shared" si="39"/>
        <v>1</v>
      </c>
      <c r="J190" s="82">
        <v>2410</v>
      </c>
      <c r="K190" s="82">
        <v>2400</v>
      </c>
      <c r="L190" s="82">
        <v>2400</v>
      </c>
      <c r="M190" s="82">
        <v>2400</v>
      </c>
      <c r="N190" s="82">
        <v>2400</v>
      </c>
      <c r="O190" s="82">
        <v>2400</v>
      </c>
      <c r="P190" s="82"/>
      <c r="Q190" s="82">
        <v>4800</v>
      </c>
      <c r="R190" s="82"/>
      <c r="S190" s="23">
        <v>4800</v>
      </c>
      <c r="T190" s="23">
        <v>2400</v>
      </c>
      <c r="U190" s="23">
        <v>2400</v>
      </c>
      <c r="V190" s="7" t="s">
        <v>627</v>
      </c>
      <c r="W190" s="82">
        <f t="shared" si="40"/>
        <v>0</v>
      </c>
      <c r="Y190" s="4"/>
      <c r="Z190" s="4"/>
      <c r="AA190" s="82"/>
      <c r="AB190" s="82"/>
      <c r="AC190" s="82"/>
      <c r="AD190" s="23"/>
      <c r="AE190" s="7" t="s">
        <v>422</v>
      </c>
      <c r="AH190" s="23">
        <f>SUM('2021 Detail'!J184:U184)+SUM('2021 Detail'!AA184:AC184)</f>
        <v>25380</v>
      </c>
      <c r="AJ190" s="23">
        <f t="shared" si="33"/>
        <v>3430</v>
      </c>
      <c r="AL190" t="str">
        <f t="shared" si="41"/>
        <v>Up</v>
      </c>
      <c r="AQ190" s="23">
        <v>2115</v>
      </c>
    </row>
    <row r="191" spans="1:43" x14ac:dyDescent="0.2">
      <c r="A191" s="226" t="s">
        <v>149</v>
      </c>
      <c r="B191" s="9" t="s">
        <v>495</v>
      </c>
      <c r="C191" s="9" t="s">
        <v>495</v>
      </c>
      <c r="D191" s="9" t="s">
        <v>495</v>
      </c>
      <c r="E191" s="9"/>
      <c r="F191" s="9" t="s">
        <v>495</v>
      </c>
      <c r="G191" s="83">
        <v>32926</v>
      </c>
      <c r="H191" s="83">
        <f t="shared" si="38"/>
        <v>32926</v>
      </c>
      <c r="I191" s="133">
        <f t="shared" si="39"/>
        <v>1</v>
      </c>
      <c r="J191" s="82">
        <v>3029.74</v>
      </c>
      <c r="K191" s="82">
        <v>0</v>
      </c>
      <c r="L191" s="82">
        <v>5435.7</v>
      </c>
      <c r="M191" s="82">
        <v>2717.84</v>
      </c>
      <c r="N191" s="82">
        <v>2717.84</v>
      </c>
      <c r="O191" s="82">
        <v>2717.84</v>
      </c>
      <c r="P191" s="82">
        <v>2717.84</v>
      </c>
      <c r="Q191" s="82">
        <v>2717.84</v>
      </c>
      <c r="R191" s="82">
        <v>2717.84</v>
      </c>
      <c r="S191" s="23">
        <v>2717.84</v>
      </c>
      <c r="T191" s="23">
        <v>2717.84</v>
      </c>
      <c r="U191" s="23">
        <v>2717.84</v>
      </c>
      <c r="V191" s="7" t="s">
        <v>628</v>
      </c>
      <c r="W191" s="82">
        <f t="shared" si="40"/>
        <v>0</v>
      </c>
      <c r="Y191" s="4"/>
      <c r="Z191" s="4"/>
      <c r="AA191" s="82"/>
      <c r="AB191" s="82"/>
      <c r="AC191" s="82"/>
      <c r="AD191" s="23"/>
      <c r="AE191" s="7" t="s">
        <v>422</v>
      </c>
      <c r="AH191" s="23">
        <f>SUM('2021 Detail'!J185:U185)+SUM('2021 Detail'!AA185:AC185)</f>
        <v>36356</v>
      </c>
      <c r="AJ191" s="23">
        <f t="shared" si="33"/>
        <v>-3430</v>
      </c>
      <c r="AL191" t="str">
        <f t="shared" si="41"/>
        <v>Down</v>
      </c>
      <c r="AQ191" s="23">
        <v>3029.66</v>
      </c>
    </row>
    <row r="192" spans="1:43" x14ac:dyDescent="0.2">
      <c r="A192" s="226" t="s">
        <v>150</v>
      </c>
      <c r="B192" s="9" t="s">
        <v>495</v>
      </c>
      <c r="C192" s="9" t="s">
        <v>495</v>
      </c>
      <c r="D192" s="9" t="s">
        <v>495</v>
      </c>
      <c r="E192" s="9"/>
      <c r="F192" s="9">
        <v>0</v>
      </c>
      <c r="G192" s="83">
        <v>6859</v>
      </c>
      <c r="H192" s="83">
        <f t="shared" si="38"/>
        <v>6859</v>
      </c>
      <c r="I192" s="133">
        <f t="shared" si="39"/>
        <v>1</v>
      </c>
      <c r="J192" s="82"/>
      <c r="K192" s="82"/>
      <c r="L192" s="82"/>
      <c r="M192" s="82">
        <v>2286.36</v>
      </c>
      <c r="N192" s="82">
        <v>571.58000000000004</v>
      </c>
      <c r="O192" s="82">
        <v>571.58000000000004</v>
      </c>
      <c r="P192" s="82">
        <v>571.58000000000004</v>
      </c>
      <c r="Q192" s="82">
        <v>571.58000000000004</v>
      </c>
      <c r="R192" s="82">
        <v>571.58000000000004</v>
      </c>
      <c r="S192" s="23">
        <v>571.58000000000004</v>
      </c>
      <c r="T192" s="23">
        <v>571.58000000000004</v>
      </c>
      <c r="U192" s="23">
        <v>571.58000000000004</v>
      </c>
      <c r="V192" s="7" t="s">
        <v>629</v>
      </c>
      <c r="W192" s="82">
        <f t="shared" si="40"/>
        <v>0</v>
      </c>
      <c r="Y192" s="4"/>
      <c r="Z192" s="4"/>
      <c r="AA192" s="82"/>
      <c r="AB192" s="82"/>
      <c r="AC192" s="82"/>
      <c r="AD192" s="23"/>
      <c r="AE192" s="7" t="s">
        <v>422</v>
      </c>
      <c r="AH192" s="23">
        <f>SUM('2021 Detail'!J186:U186)+SUM('2021 Detail'!AA186:AC186)</f>
        <v>6859</v>
      </c>
      <c r="AJ192" s="23">
        <f t="shared" si="33"/>
        <v>0</v>
      </c>
      <c r="AL192" t="str">
        <f t="shared" si="41"/>
        <v>Same</v>
      </c>
    </row>
    <row r="193" spans="1:44" x14ac:dyDescent="0.2">
      <c r="A193" s="226" t="s">
        <v>151</v>
      </c>
      <c r="B193" s="9" t="s">
        <v>495</v>
      </c>
      <c r="C193" s="9" t="s">
        <v>495</v>
      </c>
      <c r="D193" s="9" t="s">
        <v>495</v>
      </c>
      <c r="E193" s="9"/>
      <c r="F193" s="9">
        <v>0</v>
      </c>
      <c r="G193" s="83">
        <v>25239</v>
      </c>
      <c r="H193" s="83">
        <f t="shared" si="38"/>
        <v>25239</v>
      </c>
      <c r="I193" s="133">
        <f t="shared" si="39"/>
        <v>1</v>
      </c>
      <c r="J193" s="82"/>
      <c r="K193" s="82"/>
      <c r="L193" s="82">
        <v>5000</v>
      </c>
      <c r="M193" s="82"/>
      <c r="N193" s="82">
        <v>556.01</v>
      </c>
      <c r="O193" s="82">
        <v>3500</v>
      </c>
      <c r="P193" s="82">
        <v>2500</v>
      </c>
      <c r="Q193" s="82">
        <v>2000</v>
      </c>
      <c r="R193" s="82">
        <v>5000</v>
      </c>
      <c r="S193" s="23"/>
      <c r="T193" s="23">
        <v>3000</v>
      </c>
      <c r="U193" s="23">
        <v>3682.99</v>
      </c>
      <c r="V193" s="7" t="s">
        <v>630</v>
      </c>
      <c r="W193" s="82">
        <f t="shared" si="40"/>
        <v>0</v>
      </c>
      <c r="Y193" s="4"/>
      <c r="Z193" s="4"/>
      <c r="AA193" s="82"/>
      <c r="AB193" s="82"/>
      <c r="AC193" s="82"/>
      <c r="AD193" s="23"/>
      <c r="AE193" s="7" t="s">
        <v>423</v>
      </c>
      <c r="AH193" s="23">
        <f>SUM('2021 Detail'!J187:U187)+SUM('2021 Detail'!AA187:AC187)</f>
        <v>25239.010000000002</v>
      </c>
      <c r="AJ193" s="23">
        <f t="shared" si="33"/>
        <v>-1.0000000002037268E-2</v>
      </c>
      <c r="AL193" t="str">
        <f t="shared" si="41"/>
        <v>Down</v>
      </c>
      <c r="AQ193" s="23">
        <v>7683</v>
      </c>
    </row>
    <row r="194" spans="1:44" x14ac:dyDescent="0.2">
      <c r="A194" s="226" t="s">
        <v>152</v>
      </c>
      <c r="B194" s="9" t="s">
        <v>495</v>
      </c>
      <c r="C194" s="9" t="s">
        <v>495</v>
      </c>
      <c r="D194" s="9" t="s">
        <v>495</v>
      </c>
      <c r="E194" s="9"/>
      <c r="F194" s="9">
        <v>0</v>
      </c>
      <c r="G194" s="83">
        <v>6714</v>
      </c>
      <c r="H194" s="83">
        <f t="shared" si="38"/>
        <v>6713.65</v>
      </c>
      <c r="I194" s="133">
        <f t="shared" si="39"/>
        <v>0.99990000000000001</v>
      </c>
      <c r="J194" s="82"/>
      <c r="K194" s="82"/>
      <c r="L194" s="82"/>
      <c r="M194" s="82"/>
      <c r="N194" s="82">
        <v>147.9</v>
      </c>
      <c r="O194" s="82"/>
      <c r="P194" s="82"/>
      <c r="Q194" s="82"/>
      <c r="R194" s="82"/>
      <c r="S194" s="23"/>
      <c r="T194" s="23"/>
      <c r="U194" s="23">
        <v>6565.75</v>
      </c>
      <c r="V194" s="7" t="s">
        <v>631</v>
      </c>
      <c r="W194" s="82">
        <f t="shared" si="40"/>
        <v>0.3500000000003638</v>
      </c>
      <c r="Y194" s="4"/>
      <c r="Z194" s="4"/>
      <c r="AA194" s="82"/>
      <c r="AB194" s="82"/>
      <c r="AC194" s="82"/>
      <c r="AD194" s="23"/>
      <c r="AE194" s="7" t="s">
        <v>423</v>
      </c>
      <c r="AH194" s="23">
        <f>SUM('2021 Detail'!J188:U188)+SUM('2021 Detail'!AA188:AC188)</f>
        <v>6713.9</v>
      </c>
      <c r="AJ194" s="23">
        <f t="shared" si="33"/>
        <v>-0.25</v>
      </c>
      <c r="AL194" t="str">
        <f t="shared" si="41"/>
        <v>Down</v>
      </c>
      <c r="AQ194" s="23">
        <v>6566</v>
      </c>
    </row>
    <row r="195" spans="1:44" x14ac:dyDescent="0.2">
      <c r="A195" s="226" t="s">
        <v>153</v>
      </c>
      <c r="B195" s="9" t="s">
        <v>495</v>
      </c>
      <c r="C195" s="9" t="s">
        <v>495</v>
      </c>
      <c r="D195" s="9" t="s">
        <v>495</v>
      </c>
      <c r="E195" s="9"/>
      <c r="F195" s="9" t="s">
        <v>495</v>
      </c>
      <c r="G195" s="83">
        <v>43482</v>
      </c>
      <c r="H195" s="83">
        <f t="shared" si="38"/>
        <v>36000</v>
      </c>
      <c r="I195" s="133">
        <f t="shared" si="39"/>
        <v>0.82789999999999997</v>
      </c>
      <c r="J195" s="82">
        <v>2813</v>
      </c>
      <c r="K195" s="82">
        <v>2811</v>
      </c>
      <c r="L195" s="82">
        <v>2811</v>
      </c>
      <c r="M195" s="82">
        <v>2811</v>
      </c>
      <c r="N195" s="82">
        <v>2811</v>
      </c>
      <c r="O195" s="82">
        <v>2811</v>
      </c>
      <c r="P195" s="82">
        <v>2811</v>
      </c>
      <c r="Q195" s="82">
        <v>2811</v>
      </c>
      <c r="R195" s="82">
        <v>2811</v>
      </c>
      <c r="S195" s="23">
        <v>2811</v>
      </c>
      <c r="T195" s="23">
        <v>5077</v>
      </c>
      <c r="U195" s="23">
        <v>2811</v>
      </c>
      <c r="V195" s="7" t="s">
        <v>632</v>
      </c>
      <c r="W195" s="82">
        <f t="shared" si="40"/>
        <v>7482</v>
      </c>
      <c r="Y195" s="4"/>
      <c r="Z195" s="4"/>
      <c r="AA195" s="82"/>
      <c r="AB195" s="82"/>
      <c r="AC195" s="82"/>
      <c r="AD195" s="23"/>
      <c r="AE195" s="7" t="s">
        <v>424</v>
      </c>
      <c r="AH195" s="23">
        <f>SUM('2021 Detail'!J189:U189)+SUM('2021 Detail'!AA189:AC189)</f>
        <v>34045.519999999997</v>
      </c>
      <c r="AJ195" s="23">
        <f t="shared" si="33"/>
        <v>1954.4800000000032</v>
      </c>
      <c r="AL195" t="str">
        <f t="shared" si="41"/>
        <v>Up</v>
      </c>
      <c r="AQ195" s="23">
        <v>0</v>
      </c>
    </row>
    <row r="196" spans="1:44" x14ac:dyDescent="0.2">
      <c r="A196" s="226" t="s">
        <v>154</v>
      </c>
      <c r="B196" s="9" t="s">
        <v>495</v>
      </c>
      <c r="C196" s="9">
        <v>0</v>
      </c>
      <c r="D196" s="9">
        <v>0</v>
      </c>
      <c r="E196" s="9"/>
      <c r="F196" s="9">
        <v>0</v>
      </c>
      <c r="G196" s="83">
        <v>4551</v>
      </c>
      <c r="H196" s="83">
        <f t="shared" si="38"/>
        <v>0</v>
      </c>
      <c r="I196" s="133">
        <f t="shared" si="39"/>
        <v>0</v>
      </c>
      <c r="J196" s="82"/>
      <c r="K196" s="82"/>
      <c r="L196" s="82"/>
      <c r="M196" s="82"/>
      <c r="N196" s="82"/>
      <c r="O196" s="82"/>
      <c r="P196" s="82"/>
      <c r="Q196" s="82"/>
      <c r="R196" s="82"/>
      <c r="S196" s="23"/>
      <c r="T196" s="23"/>
      <c r="U196" s="23"/>
      <c r="V196" s="7" t="s">
        <v>633</v>
      </c>
      <c r="W196" s="82">
        <f t="shared" si="40"/>
        <v>4551</v>
      </c>
      <c r="Y196" s="4"/>
      <c r="Z196" s="4"/>
      <c r="AA196" s="82"/>
      <c r="AB196" s="82"/>
      <c r="AC196" s="82"/>
      <c r="AD196" s="23"/>
      <c r="AE196" s="7" t="s">
        <v>424</v>
      </c>
      <c r="AH196" s="23">
        <f>SUM('2021 Detail'!J190:U190)+SUM('2021 Detail'!AA190:AC190)</f>
        <v>4566</v>
      </c>
      <c r="AJ196" s="23">
        <f t="shared" si="33"/>
        <v>-4566</v>
      </c>
      <c r="AL196" t="str">
        <f t="shared" si="41"/>
        <v>Down</v>
      </c>
      <c r="AQ196" s="23">
        <v>0</v>
      </c>
    </row>
    <row r="197" spans="1:44" x14ac:dyDescent="0.2">
      <c r="A197" s="226" t="s">
        <v>155</v>
      </c>
      <c r="B197" s="9" t="s">
        <v>495</v>
      </c>
      <c r="C197" s="9" t="s">
        <v>495</v>
      </c>
      <c r="D197" s="9" t="s">
        <v>495</v>
      </c>
      <c r="E197" s="9"/>
      <c r="F197" s="9" t="s">
        <v>495</v>
      </c>
      <c r="G197" s="83">
        <v>12563</v>
      </c>
      <c r="H197" s="83">
        <f t="shared" si="38"/>
        <v>6250</v>
      </c>
      <c r="I197" s="133">
        <f t="shared" si="39"/>
        <v>0.4975</v>
      </c>
      <c r="J197" s="82">
        <v>250</v>
      </c>
      <c r="K197" s="82">
        <v>250</v>
      </c>
      <c r="L197" s="82">
        <v>250</v>
      </c>
      <c r="M197" s="82">
        <v>250</v>
      </c>
      <c r="N197" s="82">
        <v>250</v>
      </c>
      <c r="O197" s="82">
        <v>500</v>
      </c>
      <c r="P197" s="82">
        <v>500</v>
      </c>
      <c r="Q197" s="82">
        <v>500</v>
      </c>
      <c r="R197" s="82">
        <v>500</v>
      </c>
      <c r="S197" s="23">
        <v>1000</v>
      </c>
      <c r="T197" s="23">
        <v>1000</v>
      </c>
      <c r="U197" s="23">
        <v>1000</v>
      </c>
      <c r="V197" s="7" t="s">
        <v>634</v>
      </c>
      <c r="W197" s="82">
        <f t="shared" si="40"/>
        <v>6313</v>
      </c>
      <c r="Y197" s="4"/>
      <c r="Z197" s="4"/>
      <c r="AA197" s="82"/>
      <c r="AB197" s="82"/>
      <c r="AC197" s="82"/>
      <c r="AD197" s="23"/>
      <c r="AE197" s="7" t="s">
        <v>419</v>
      </c>
      <c r="AH197" s="23">
        <f>SUM('2021 Detail'!J191:U191)+SUM('2021 Detail'!AA191:AC191)</f>
        <v>6271</v>
      </c>
      <c r="AJ197" s="23">
        <f t="shared" si="33"/>
        <v>-21</v>
      </c>
      <c r="AL197" t="str">
        <f t="shared" si="41"/>
        <v>Down</v>
      </c>
      <c r="AQ197" s="23">
        <v>2771</v>
      </c>
    </row>
    <row r="198" spans="1:44" x14ac:dyDescent="0.2">
      <c r="A198" s="226" t="s">
        <v>156</v>
      </c>
      <c r="B198" s="9" t="s">
        <v>495</v>
      </c>
      <c r="C198" s="9" t="s">
        <v>495</v>
      </c>
      <c r="D198" s="9" t="s">
        <v>495</v>
      </c>
      <c r="E198" s="9"/>
      <c r="F198" s="9">
        <v>0</v>
      </c>
      <c r="G198" s="83">
        <v>2154</v>
      </c>
      <c r="H198" s="83">
        <f t="shared" si="38"/>
        <v>200</v>
      </c>
      <c r="I198" s="133">
        <f t="shared" si="39"/>
        <v>9.2899999999999996E-2</v>
      </c>
      <c r="J198" s="82"/>
      <c r="K198" s="82"/>
      <c r="L198" s="82">
        <v>200</v>
      </c>
      <c r="M198" s="82"/>
      <c r="N198" s="82"/>
      <c r="O198" s="82"/>
      <c r="P198" s="82"/>
      <c r="Q198" s="82"/>
      <c r="R198" s="82"/>
      <c r="S198" s="23"/>
      <c r="T198" s="23"/>
      <c r="U198" s="23"/>
      <c r="V198" s="7" t="s">
        <v>635</v>
      </c>
      <c r="W198" s="82">
        <f t="shared" si="40"/>
        <v>1954</v>
      </c>
      <c r="Y198" s="4"/>
      <c r="Z198" s="4"/>
      <c r="AA198" s="82"/>
      <c r="AB198" s="82"/>
      <c r="AC198" s="82"/>
      <c r="AD198" s="23"/>
      <c r="AE198" s="7" t="s">
        <v>419</v>
      </c>
      <c r="AH198" s="23">
        <f>SUM('2021 Detail'!J192:U192)+SUM('2021 Detail'!AA192:AC192)</f>
        <v>0</v>
      </c>
      <c r="AJ198" s="23">
        <f t="shared" si="33"/>
        <v>200</v>
      </c>
      <c r="AL198" t="str">
        <f t="shared" si="41"/>
        <v>Up</v>
      </c>
    </row>
    <row r="199" spans="1:44" x14ac:dyDescent="0.2">
      <c r="A199" s="226" t="s">
        <v>157</v>
      </c>
      <c r="B199" s="9">
        <v>0</v>
      </c>
      <c r="C199" s="9" t="s">
        <v>495</v>
      </c>
      <c r="D199" s="9" t="s">
        <v>495</v>
      </c>
      <c r="E199" s="9"/>
      <c r="F199" s="9" t="s">
        <v>495</v>
      </c>
      <c r="G199" s="83">
        <f>10847-1000</f>
        <v>9847</v>
      </c>
      <c r="H199" s="83">
        <f t="shared" si="38"/>
        <v>9847</v>
      </c>
      <c r="I199" s="133">
        <f t="shared" si="39"/>
        <v>1</v>
      </c>
      <c r="J199" s="82">
        <v>903.99</v>
      </c>
      <c r="K199" s="82">
        <v>903.91</v>
      </c>
      <c r="L199" s="82">
        <v>903.91</v>
      </c>
      <c r="M199" s="82">
        <v>903.91</v>
      </c>
      <c r="N199" s="82">
        <v>903.91</v>
      </c>
      <c r="O199" s="82">
        <v>778.91</v>
      </c>
      <c r="P199" s="82">
        <v>653.91</v>
      </c>
      <c r="Q199" s="82">
        <v>778.91</v>
      </c>
      <c r="R199" s="82">
        <v>778.91</v>
      </c>
      <c r="S199" s="23">
        <v>778.91</v>
      </c>
      <c r="T199" s="23">
        <v>778.91</v>
      </c>
      <c r="U199" s="23">
        <v>778.91</v>
      </c>
      <c r="V199" s="7" t="s">
        <v>636</v>
      </c>
      <c r="W199" s="82">
        <f t="shared" si="40"/>
        <v>0</v>
      </c>
      <c r="Y199" s="4"/>
      <c r="Z199" s="4"/>
      <c r="AA199" s="82"/>
      <c r="AB199" s="82"/>
      <c r="AC199" s="82"/>
      <c r="AD199" s="23"/>
      <c r="AE199" s="7" t="s">
        <v>426</v>
      </c>
      <c r="AH199" s="23">
        <f>SUM('2021 Detail'!J193:U193)+SUM('2021 Detail'!AA193:AC193)</f>
        <v>10847</v>
      </c>
      <c r="AJ199" s="23">
        <f t="shared" si="33"/>
        <v>-1000</v>
      </c>
      <c r="AL199" t="str">
        <f t="shared" si="41"/>
        <v>Down</v>
      </c>
      <c r="AQ199" s="23">
        <v>903.91</v>
      </c>
    </row>
    <row r="200" spans="1:44" x14ac:dyDescent="0.2">
      <c r="A200" s="226" t="s">
        <v>158</v>
      </c>
      <c r="B200" s="9" t="s">
        <v>495</v>
      </c>
      <c r="C200" s="9" t="s">
        <v>495</v>
      </c>
      <c r="D200" s="9" t="s">
        <v>495</v>
      </c>
      <c r="E200" s="9"/>
      <c r="F200" s="9" t="s">
        <v>495</v>
      </c>
      <c r="G200" s="83">
        <v>6211</v>
      </c>
      <c r="H200" s="83">
        <f t="shared" si="38"/>
        <v>3600</v>
      </c>
      <c r="I200" s="133">
        <f t="shared" si="39"/>
        <v>0.5796</v>
      </c>
      <c r="J200" s="82">
        <v>200</v>
      </c>
      <c r="K200" s="82">
        <v>400</v>
      </c>
      <c r="L200" s="82">
        <v>300</v>
      </c>
      <c r="M200" s="82">
        <v>300</v>
      </c>
      <c r="N200" s="82">
        <v>300</v>
      </c>
      <c r="O200" s="82">
        <v>300</v>
      </c>
      <c r="P200" s="82">
        <v>300</v>
      </c>
      <c r="Q200" s="82">
        <v>300</v>
      </c>
      <c r="R200" s="82">
        <v>300</v>
      </c>
      <c r="S200" s="23">
        <v>300</v>
      </c>
      <c r="T200" s="23">
        <v>300</v>
      </c>
      <c r="U200" s="23">
        <v>300</v>
      </c>
      <c r="V200" s="7" t="s">
        <v>637</v>
      </c>
      <c r="W200" s="82">
        <f t="shared" si="40"/>
        <v>2611</v>
      </c>
      <c r="Y200" s="4"/>
      <c r="Z200" s="4"/>
      <c r="AA200" s="82"/>
      <c r="AB200" s="82"/>
      <c r="AC200" s="82"/>
      <c r="AD200" s="23"/>
      <c r="AE200" s="7" t="s">
        <v>419</v>
      </c>
      <c r="AH200" s="23">
        <f>SUM('2021 Detail'!J194:U194)+SUM('2021 Detail'!AA194:AC194)</f>
        <v>2400</v>
      </c>
      <c r="AJ200" s="23">
        <f t="shared" si="33"/>
        <v>1200</v>
      </c>
      <c r="AL200" t="str">
        <f t="shared" si="41"/>
        <v>Up</v>
      </c>
      <c r="AQ200" s="23">
        <v>200</v>
      </c>
    </row>
    <row r="201" spans="1:44" x14ac:dyDescent="0.2">
      <c r="A201" s="226" t="s">
        <v>159</v>
      </c>
      <c r="B201" s="9" t="s">
        <v>495</v>
      </c>
      <c r="C201" s="9">
        <v>0</v>
      </c>
      <c r="D201" s="9">
        <v>0</v>
      </c>
      <c r="E201" s="9"/>
      <c r="F201" s="9" t="s">
        <v>638</v>
      </c>
      <c r="G201" s="83">
        <v>31948</v>
      </c>
      <c r="H201" s="83">
        <f t="shared" si="38"/>
        <v>3000</v>
      </c>
      <c r="I201" s="133">
        <f t="shared" si="39"/>
        <v>9.3899999999999997E-2</v>
      </c>
      <c r="J201" s="82">
        <v>250</v>
      </c>
      <c r="K201" s="82">
        <v>250</v>
      </c>
      <c r="L201" s="82">
        <v>250</v>
      </c>
      <c r="M201" s="82">
        <v>250</v>
      </c>
      <c r="N201" s="82">
        <v>250</v>
      </c>
      <c r="O201" s="82">
        <v>250</v>
      </c>
      <c r="P201" s="82">
        <v>250</v>
      </c>
      <c r="Q201" s="82">
        <v>250</v>
      </c>
      <c r="R201" s="82">
        <v>250</v>
      </c>
      <c r="S201" s="23">
        <v>250</v>
      </c>
      <c r="T201" s="23">
        <v>250</v>
      </c>
      <c r="U201" s="23">
        <v>250</v>
      </c>
      <c r="V201" s="7" t="s">
        <v>639</v>
      </c>
      <c r="W201" s="82">
        <f t="shared" si="40"/>
        <v>28948</v>
      </c>
      <c r="Y201" s="4"/>
      <c r="Z201" s="4"/>
      <c r="AA201" s="82"/>
      <c r="AB201" s="82"/>
      <c r="AC201" s="82"/>
      <c r="AD201" s="23"/>
      <c r="AE201" s="7" t="s">
        <v>425</v>
      </c>
      <c r="AH201" s="23">
        <f>SUM('2021 Detail'!J195:U195)+SUM('2021 Detail'!AA195:AC195)</f>
        <v>5000</v>
      </c>
      <c r="AJ201" s="23">
        <f t="shared" si="33"/>
        <v>-2000</v>
      </c>
      <c r="AL201" t="str">
        <f t="shared" si="41"/>
        <v>Down</v>
      </c>
      <c r="AQ201" s="23">
        <v>250</v>
      </c>
    </row>
    <row r="202" spans="1:44" x14ac:dyDescent="0.2">
      <c r="A202" s="226" t="s">
        <v>160</v>
      </c>
      <c r="B202" s="9" t="s">
        <v>495</v>
      </c>
      <c r="C202" s="9" t="s">
        <v>495</v>
      </c>
      <c r="D202" s="9">
        <v>0</v>
      </c>
      <c r="E202" s="9"/>
      <c r="F202" s="9">
        <v>0</v>
      </c>
      <c r="G202" s="83">
        <v>31949</v>
      </c>
      <c r="H202" s="83">
        <f t="shared" si="38"/>
        <v>10000</v>
      </c>
      <c r="I202" s="133">
        <f t="shared" si="39"/>
        <v>0.313</v>
      </c>
      <c r="J202" s="82"/>
      <c r="K202" s="82"/>
      <c r="L202" s="82"/>
      <c r="M202" s="82"/>
      <c r="N202" s="82"/>
      <c r="O202" s="82"/>
      <c r="P202" s="82"/>
      <c r="Q202" s="82"/>
      <c r="R202" s="82"/>
      <c r="S202" s="23"/>
      <c r="T202" s="23"/>
      <c r="U202" s="23">
        <v>10000</v>
      </c>
      <c r="V202" s="7" t="s">
        <v>640</v>
      </c>
      <c r="W202" s="82">
        <f t="shared" si="40"/>
        <v>21949</v>
      </c>
      <c r="Y202" s="4"/>
      <c r="Z202" s="4"/>
      <c r="AA202" s="82"/>
      <c r="AB202" s="82"/>
      <c r="AC202" s="82"/>
      <c r="AD202" s="23"/>
      <c r="AE202" s="7" t="s">
        <v>425</v>
      </c>
      <c r="AH202" s="23">
        <f>SUM('2021 Detail'!J196:U196)+SUM('2021 Detail'!AA196:AC196)</f>
        <v>10000</v>
      </c>
      <c r="AJ202" s="23">
        <f t="shared" si="33"/>
        <v>0</v>
      </c>
      <c r="AL202" t="str">
        <f t="shared" si="41"/>
        <v>Same</v>
      </c>
      <c r="AQ202" s="23">
        <v>10000</v>
      </c>
    </row>
    <row r="203" spans="1:44" x14ac:dyDescent="0.2">
      <c r="A203" s="226" t="s">
        <v>161</v>
      </c>
      <c r="B203" s="9" t="s">
        <v>495</v>
      </c>
      <c r="C203" s="9">
        <v>0</v>
      </c>
      <c r="D203" s="9">
        <v>0</v>
      </c>
      <c r="E203" s="9"/>
      <c r="F203" s="9" t="s">
        <v>495</v>
      </c>
      <c r="G203" s="83">
        <v>16421</v>
      </c>
      <c r="H203" s="83">
        <f t="shared" si="38"/>
        <v>16420.75</v>
      </c>
      <c r="I203" s="133">
        <f t="shared" si="39"/>
        <v>1</v>
      </c>
      <c r="J203" s="82">
        <v>1000</v>
      </c>
      <c r="K203" s="82">
        <v>1000</v>
      </c>
      <c r="L203" s="82">
        <v>1000</v>
      </c>
      <c r="M203" s="82">
        <v>1000</v>
      </c>
      <c r="N203" s="82">
        <v>1361.75</v>
      </c>
      <c r="O203" s="82">
        <v>1000</v>
      </c>
      <c r="P203" s="82">
        <v>1000</v>
      </c>
      <c r="Q203" s="82">
        <v>1000</v>
      </c>
      <c r="R203" s="82">
        <v>1000</v>
      </c>
      <c r="S203" s="23">
        <v>1000</v>
      </c>
      <c r="T203" s="23">
        <v>1000</v>
      </c>
      <c r="U203" s="23">
        <v>1000</v>
      </c>
      <c r="V203" s="7" t="s">
        <v>641</v>
      </c>
      <c r="W203" s="82">
        <f t="shared" si="40"/>
        <v>0.25</v>
      </c>
      <c r="Y203" s="4"/>
      <c r="Z203" s="4"/>
      <c r="AA203" s="82">
        <v>4059</v>
      </c>
      <c r="AB203" s="82"/>
      <c r="AC203" s="82"/>
      <c r="AD203" s="23"/>
      <c r="AE203" s="7" t="s">
        <v>423</v>
      </c>
      <c r="AH203" s="23">
        <f>SUM('2021 Detail'!J197:U197)+SUM('2021 Detail'!AA197:AC197)</f>
        <v>16420.75</v>
      </c>
      <c r="AJ203" s="23">
        <f t="shared" si="33"/>
        <v>0</v>
      </c>
      <c r="AL203" t="str">
        <f t="shared" si="41"/>
        <v>Same</v>
      </c>
      <c r="AQ203" s="23">
        <v>5059</v>
      </c>
    </row>
    <row r="204" spans="1:44" x14ac:dyDescent="0.2">
      <c r="A204" s="226" t="s">
        <v>162</v>
      </c>
      <c r="B204" s="9" t="s">
        <v>495</v>
      </c>
      <c r="C204" s="9" t="s">
        <v>495</v>
      </c>
      <c r="D204" s="9">
        <v>0</v>
      </c>
      <c r="E204" s="9"/>
      <c r="F204" s="9">
        <v>0</v>
      </c>
      <c r="G204" s="83">
        <v>14787</v>
      </c>
      <c r="H204" s="83">
        <f t="shared" si="38"/>
        <v>14787</v>
      </c>
      <c r="I204" s="133">
        <f t="shared" si="39"/>
        <v>1</v>
      </c>
      <c r="J204" s="82">
        <v>1000</v>
      </c>
      <c r="K204" s="82">
        <v>1000</v>
      </c>
      <c r="L204" s="82">
        <v>1000</v>
      </c>
      <c r="M204" s="82">
        <v>1000</v>
      </c>
      <c r="N204" s="82">
        <v>1325.75</v>
      </c>
      <c r="O204" s="82">
        <v>1000</v>
      </c>
      <c r="P204" s="82">
        <v>2230</v>
      </c>
      <c r="Q204" s="82">
        <v>1000</v>
      </c>
      <c r="R204" s="82">
        <v>1000</v>
      </c>
      <c r="S204" s="23">
        <v>1000</v>
      </c>
      <c r="T204" s="23">
        <v>1000</v>
      </c>
      <c r="U204" s="23">
        <v>2231.25</v>
      </c>
      <c r="V204" s="7" t="s">
        <v>642</v>
      </c>
      <c r="W204" s="82">
        <f t="shared" si="40"/>
        <v>0</v>
      </c>
      <c r="Y204" s="4"/>
      <c r="Z204" s="4"/>
      <c r="AA204" s="82"/>
      <c r="AB204" s="82"/>
      <c r="AC204" s="82"/>
      <c r="AD204" s="23"/>
      <c r="AE204" s="7" t="s">
        <v>423</v>
      </c>
      <c r="AH204" s="23">
        <f>SUM('2021 Detail'!J198:U198)+SUM('2021 Detail'!AA198:AC198)</f>
        <v>14787</v>
      </c>
      <c r="AJ204" s="23">
        <f t="shared" si="33"/>
        <v>0</v>
      </c>
      <c r="AL204" t="str">
        <f t="shared" si="41"/>
        <v>Same</v>
      </c>
      <c r="AQ204" s="23">
        <v>2261.25</v>
      </c>
    </row>
    <row r="205" spans="1:44" x14ac:dyDescent="0.2">
      <c r="A205" s="226" t="s">
        <v>163</v>
      </c>
      <c r="B205" s="9">
        <v>0</v>
      </c>
      <c r="C205" s="9" t="s">
        <v>495</v>
      </c>
      <c r="D205" s="9">
        <v>0</v>
      </c>
      <c r="E205" s="9"/>
      <c r="F205" s="9" t="s">
        <v>495</v>
      </c>
      <c r="G205" s="83">
        <v>19853</v>
      </c>
      <c r="H205" s="83">
        <f t="shared" si="38"/>
        <v>19853.000000000004</v>
      </c>
      <c r="I205" s="133">
        <f t="shared" si="39"/>
        <v>1</v>
      </c>
      <c r="J205" s="82">
        <v>1758.49</v>
      </c>
      <c r="K205" s="82">
        <v>1645.01</v>
      </c>
      <c r="L205" s="82">
        <v>1644.95</v>
      </c>
      <c r="M205" s="82">
        <v>1644.95</v>
      </c>
      <c r="N205" s="82">
        <v>1644.95</v>
      </c>
      <c r="O205" s="82">
        <v>1644.95</v>
      </c>
      <c r="P205" s="82">
        <v>1644.95</v>
      </c>
      <c r="Q205" s="82">
        <v>1644.95</v>
      </c>
      <c r="R205" s="82">
        <v>1644.95</v>
      </c>
      <c r="S205" s="23">
        <v>1644.95</v>
      </c>
      <c r="T205" s="23">
        <v>1644.95</v>
      </c>
      <c r="U205" s="23">
        <v>1644.95</v>
      </c>
      <c r="V205" s="7" t="s">
        <v>643</v>
      </c>
      <c r="W205" s="82">
        <f t="shared" si="40"/>
        <v>0</v>
      </c>
      <c r="Y205" s="4"/>
      <c r="Z205" s="4"/>
      <c r="AA205" s="82"/>
      <c r="AB205" s="82"/>
      <c r="AC205" s="82"/>
      <c r="AD205" s="23"/>
      <c r="AE205" s="7" t="s">
        <v>426</v>
      </c>
      <c r="AH205" s="23">
        <f>SUM('2021 Detail'!J199:U199)+SUM('2021 Detail'!AA199:AC199)</f>
        <v>19853</v>
      </c>
      <c r="AJ205" s="23">
        <f t="shared" si="33"/>
        <v>0</v>
      </c>
      <c r="AL205" t="str">
        <f t="shared" si="41"/>
        <v>Same</v>
      </c>
      <c r="AQ205" s="23">
        <v>1550.41</v>
      </c>
      <c r="AR205" t="s">
        <v>1114</v>
      </c>
    </row>
    <row r="206" spans="1:44" x14ac:dyDescent="0.2">
      <c r="A206" s="226" t="s">
        <v>164</v>
      </c>
      <c r="B206" s="9" t="s">
        <v>495</v>
      </c>
      <c r="C206" s="9" t="s">
        <v>495</v>
      </c>
      <c r="D206" s="9">
        <v>0</v>
      </c>
      <c r="E206" s="9"/>
      <c r="F206" s="9">
        <v>0</v>
      </c>
      <c r="G206" s="83">
        <f>2681+1000</f>
        <v>3681</v>
      </c>
      <c r="H206" s="83">
        <f t="shared" si="38"/>
        <v>3681</v>
      </c>
      <c r="I206" s="133">
        <f t="shared" si="39"/>
        <v>1</v>
      </c>
      <c r="J206" s="82"/>
      <c r="K206" s="82"/>
      <c r="L206" s="82">
        <v>670.25</v>
      </c>
      <c r="M206" s="82">
        <v>0</v>
      </c>
      <c r="N206" s="82">
        <v>0</v>
      </c>
      <c r="O206" s="82">
        <v>1003.59</v>
      </c>
      <c r="P206" s="82"/>
      <c r="Q206" s="82"/>
      <c r="R206" s="82">
        <v>1003.58</v>
      </c>
      <c r="S206" s="23"/>
      <c r="T206" s="23"/>
      <c r="U206" s="23">
        <v>1003.58</v>
      </c>
      <c r="V206" s="7" t="s">
        <v>644</v>
      </c>
      <c r="W206" s="82">
        <f t="shared" si="40"/>
        <v>0</v>
      </c>
      <c r="Y206" s="4"/>
      <c r="Z206" s="4"/>
      <c r="AA206" s="82"/>
      <c r="AB206" s="82"/>
      <c r="AC206" s="82"/>
      <c r="AD206" s="23"/>
      <c r="AE206" s="7" t="s">
        <v>426</v>
      </c>
      <c r="AH206" s="23">
        <f>SUM('2021 Detail'!J200:U200)+SUM('2021 Detail'!AA200:AC200)</f>
        <v>2681</v>
      </c>
      <c r="AJ206" s="23">
        <f t="shared" si="33"/>
        <v>1000</v>
      </c>
      <c r="AL206" t="str">
        <f t="shared" si="41"/>
        <v>Up</v>
      </c>
    </row>
    <row r="207" spans="1:44" x14ac:dyDescent="0.2">
      <c r="A207" s="226" t="s">
        <v>165</v>
      </c>
      <c r="B207" s="9">
        <v>0</v>
      </c>
      <c r="C207" s="9" t="s">
        <v>495</v>
      </c>
      <c r="D207" s="9">
        <v>0</v>
      </c>
      <c r="E207" s="9"/>
      <c r="F207" s="9" t="s">
        <v>495</v>
      </c>
      <c r="G207" s="83">
        <v>12712</v>
      </c>
      <c r="H207" s="83">
        <f t="shared" si="38"/>
        <v>12712</v>
      </c>
      <c r="I207" s="133">
        <f t="shared" si="39"/>
        <v>1</v>
      </c>
      <c r="J207" s="82">
        <v>1059.3699999999999</v>
      </c>
      <c r="K207" s="82">
        <v>1059.33</v>
      </c>
      <c r="L207" s="82">
        <v>1059.33</v>
      </c>
      <c r="M207" s="82">
        <v>1059.33</v>
      </c>
      <c r="N207" s="82">
        <v>1059.33</v>
      </c>
      <c r="O207" s="82">
        <v>1059.33</v>
      </c>
      <c r="P207" s="82">
        <v>1059.33</v>
      </c>
      <c r="Q207" s="82">
        <v>1059.33</v>
      </c>
      <c r="R207" s="82">
        <v>1059.33</v>
      </c>
      <c r="S207" s="23">
        <v>1059.33</v>
      </c>
      <c r="T207" s="23">
        <v>1059.33</v>
      </c>
      <c r="U207" s="23">
        <v>1059.33</v>
      </c>
      <c r="V207" s="7" t="s">
        <v>645</v>
      </c>
      <c r="W207" s="82">
        <f t="shared" si="40"/>
        <v>0</v>
      </c>
      <c r="Y207" s="4"/>
      <c r="Z207" s="4"/>
      <c r="AA207" s="82"/>
      <c r="AB207" s="82"/>
      <c r="AC207" s="82"/>
      <c r="AD207" s="23"/>
      <c r="AE207" s="7" t="s">
        <v>426</v>
      </c>
      <c r="AH207" s="23">
        <f>SUM('2021 Detail'!J201:U201)+SUM('2021 Detail'!AA201:AC201)</f>
        <v>12712</v>
      </c>
      <c r="AJ207" s="23">
        <f t="shared" si="33"/>
        <v>0</v>
      </c>
      <c r="AL207" t="str">
        <f t="shared" si="41"/>
        <v>Same</v>
      </c>
      <c r="AQ207" s="23">
        <v>1059.33</v>
      </c>
    </row>
    <row r="208" spans="1:44" x14ac:dyDescent="0.2">
      <c r="A208" s="226" t="s">
        <v>166</v>
      </c>
      <c r="B208" s="9" t="s">
        <v>495</v>
      </c>
      <c r="C208" s="9" t="s">
        <v>495</v>
      </c>
      <c r="D208" s="9" t="s">
        <v>495</v>
      </c>
      <c r="E208" s="9"/>
      <c r="F208" s="9" t="s">
        <v>495</v>
      </c>
      <c r="G208" s="83">
        <v>26870</v>
      </c>
      <c r="H208" s="83">
        <f t="shared" si="38"/>
        <v>20000</v>
      </c>
      <c r="I208" s="133">
        <f t="shared" si="39"/>
        <v>0.74429999999999996</v>
      </c>
      <c r="J208" s="82">
        <v>1000</v>
      </c>
      <c r="K208" s="82">
        <v>1000</v>
      </c>
      <c r="L208" s="82">
        <v>1000</v>
      </c>
      <c r="M208" s="82">
        <v>1000</v>
      </c>
      <c r="N208" s="82">
        <v>1000</v>
      </c>
      <c r="O208" s="82">
        <v>1000</v>
      </c>
      <c r="P208" s="82">
        <v>1000</v>
      </c>
      <c r="Q208" s="82">
        <v>1000</v>
      </c>
      <c r="R208" s="82">
        <v>1000</v>
      </c>
      <c r="S208" s="23">
        <v>4000</v>
      </c>
      <c r="T208" s="23">
        <v>1000</v>
      </c>
      <c r="U208" s="23">
        <v>1000</v>
      </c>
      <c r="V208" s="7" t="s">
        <v>646</v>
      </c>
      <c r="W208" s="82">
        <f t="shared" si="40"/>
        <v>6870</v>
      </c>
      <c r="Y208" s="4"/>
      <c r="Z208" s="4"/>
      <c r="AA208" s="82">
        <v>5000</v>
      </c>
      <c r="AB208" s="82"/>
      <c r="AC208" s="82"/>
      <c r="AD208" s="23"/>
      <c r="AE208" s="7" t="s">
        <v>427</v>
      </c>
      <c r="AH208" s="23">
        <f>SUM('2021 Detail'!J202:U202)+SUM('2021 Detail'!AA202:AC202)</f>
        <v>26870</v>
      </c>
      <c r="AJ208" s="23">
        <f t="shared" si="33"/>
        <v>-6870</v>
      </c>
      <c r="AL208" t="str">
        <f t="shared" si="41"/>
        <v>Down</v>
      </c>
      <c r="AQ208" s="23">
        <v>11000</v>
      </c>
    </row>
    <row r="209" spans="1:43" x14ac:dyDescent="0.2">
      <c r="A209" s="226" t="s">
        <v>167</v>
      </c>
      <c r="B209" s="9" t="s">
        <v>495</v>
      </c>
      <c r="C209" s="9" t="s">
        <v>495</v>
      </c>
      <c r="D209" s="9">
        <v>0</v>
      </c>
      <c r="E209" s="9"/>
      <c r="F209" s="9" t="s">
        <v>495</v>
      </c>
      <c r="G209" s="83">
        <v>10797</v>
      </c>
      <c r="H209" s="83">
        <f t="shared" si="38"/>
        <v>10797</v>
      </c>
      <c r="I209" s="133">
        <f t="shared" si="39"/>
        <v>1</v>
      </c>
      <c r="J209" s="82">
        <v>899.75</v>
      </c>
      <c r="K209" s="82">
        <v>899.75</v>
      </c>
      <c r="L209" s="82">
        <v>899.75</v>
      </c>
      <c r="M209" s="82">
        <v>899.75</v>
      </c>
      <c r="N209" s="82">
        <v>899.75</v>
      </c>
      <c r="O209" s="82">
        <v>899.75</v>
      </c>
      <c r="P209" s="82">
        <v>899.75</v>
      </c>
      <c r="Q209" s="82">
        <v>899.75</v>
      </c>
      <c r="R209" s="82">
        <v>899.75</v>
      </c>
      <c r="S209" s="23">
        <v>899.75</v>
      </c>
      <c r="T209" s="23">
        <v>899.75</v>
      </c>
      <c r="U209" s="23">
        <v>899.75</v>
      </c>
      <c r="V209" s="7" t="s">
        <v>647</v>
      </c>
      <c r="W209" s="82">
        <f t="shared" si="40"/>
        <v>0</v>
      </c>
      <c r="Y209" s="4"/>
      <c r="Z209" s="4"/>
      <c r="AA209" s="82"/>
      <c r="AB209" s="82"/>
      <c r="AC209" s="82"/>
      <c r="AD209" s="23"/>
      <c r="AE209" s="7" t="s">
        <v>427</v>
      </c>
      <c r="AH209" s="23">
        <f>SUM('2021 Detail'!J203:U203)+SUM('2021 Detail'!AA203:AC203)</f>
        <v>10796.999999999996</v>
      </c>
      <c r="AJ209" s="23">
        <f t="shared" si="33"/>
        <v>0</v>
      </c>
      <c r="AL209" t="str">
        <f t="shared" si="41"/>
        <v>Same</v>
      </c>
      <c r="AQ209" s="23">
        <v>899.56</v>
      </c>
    </row>
    <row r="210" spans="1:43" x14ac:dyDescent="0.2">
      <c r="A210" s="226" t="s">
        <v>168</v>
      </c>
      <c r="B210" s="9">
        <v>0</v>
      </c>
      <c r="C210" s="9" t="s">
        <v>495</v>
      </c>
      <c r="D210" s="9" t="s">
        <v>495</v>
      </c>
      <c r="E210" s="9"/>
      <c r="F210" s="9">
        <v>0</v>
      </c>
      <c r="G210" s="83">
        <v>2338</v>
      </c>
      <c r="H210" s="83">
        <f t="shared" si="38"/>
        <v>2338</v>
      </c>
      <c r="I210" s="133">
        <f t="shared" si="39"/>
        <v>1</v>
      </c>
      <c r="J210" s="82"/>
      <c r="K210" s="82">
        <v>212.6</v>
      </c>
      <c r="L210" s="82">
        <v>212.54</v>
      </c>
      <c r="M210" s="82">
        <v>212.54</v>
      </c>
      <c r="N210" s="82">
        <v>212.54</v>
      </c>
      <c r="O210" s="82">
        <v>212.54</v>
      </c>
      <c r="P210" s="82">
        <v>212.54</v>
      </c>
      <c r="Q210" s="82">
        <v>212.54</v>
      </c>
      <c r="R210" s="82">
        <v>212.54</v>
      </c>
      <c r="S210" s="23">
        <v>212.54</v>
      </c>
      <c r="T210" s="23">
        <v>212.54</v>
      </c>
      <c r="U210" s="23">
        <v>212.54</v>
      </c>
      <c r="V210" s="7" t="s">
        <v>648</v>
      </c>
      <c r="W210" s="82">
        <f t="shared" si="40"/>
        <v>0</v>
      </c>
      <c r="Y210" s="4"/>
      <c r="Z210" s="4"/>
      <c r="AA210" s="82"/>
      <c r="AB210" s="82"/>
      <c r="AC210" s="82"/>
      <c r="AD210" s="23"/>
      <c r="AE210" s="7" t="s">
        <v>427</v>
      </c>
      <c r="AH210" s="23">
        <f>SUM('2021 Detail'!J204:U204)+SUM('2021 Detail'!AA204:AC204)</f>
        <v>2338</v>
      </c>
      <c r="AJ210" s="23">
        <f t="shared" si="33"/>
        <v>0</v>
      </c>
      <c r="AL210" t="str">
        <f t="shared" si="41"/>
        <v>Same</v>
      </c>
      <c r="AQ210" s="23">
        <v>233.8</v>
      </c>
    </row>
    <row r="211" spans="1:43" x14ac:dyDescent="0.2">
      <c r="A211" s="226" t="s">
        <v>169</v>
      </c>
      <c r="B211" s="9" t="s">
        <v>495</v>
      </c>
      <c r="C211" s="9" t="s">
        <v>495</v>
      </c>
      <c r="D211" s="9" t="s">
        <v>495</v>
      </c>
      <c r="E211" s="9"/>
      <c r="F211" s="9">
        <v>0</v>
      </c>
      <c r="G211" s="83">
        <v>20818</v>
      </c>
      <c r="H211" s="83">
        <f t="shared" si="38"/>
        <v>20818</v>
      </c>
      <c r="I211" s="133">
        <f t="shared" si="39"/>
        <v>1</v>
      </c>
      <c r="J211" s="82"/>
      <c r="K211" s="82"/>
      <c r="L211" s="82">
        <v>3470</v>
      </c>
      <c r="M211" s="82"/>
      <c r="N211" s="82">
        <v>1735</v>
      </c>
      <c r="O211" s="82">
        <v>1735</v>
      </c>
      <c r="P211" s="82">
        <v>3470</v>
      </c>
      <c r="Q211" s="82"/>
      <c r="R211" s="82">
        <v>3470</v>
      </c>
      <c r="S211" s="23"/>
      <c r="T211" s="23">
        <v>3470</v>
      </c>
      <c r="U211" s="23">
        <v>3468</v>
      </c>
      <c r="V211" s="7" t="s">
        <v>649</v>
      </c>
      <c r="W211" s="82">
        <f t="shared" si="40"/>
        <v>0</v>
      </c>
      <c r="Y211" s="4"/>
      <c r="Z211" s="4"/>
      <c r="AA211" s="82"/>
      <c r="AB211" s="82"/>
      <c r="AC211" s="82"/>
      <c r="AD211" s="23"/>
      <c r="AE211" s="7" t="s">
        <v>424</v>
      </c>
      <c r="AH211" s="23">
        <f>SUM('2021 Detail'!J205:U205)+SUM('2021 Detail'!AA205:AC205)</f>
        <v>16200</v>
      </c>
      <c r="AJ211" s="23">
        <f t="shared" si="33"/>
        <v>4618</v>
      </c>
      <c r="AL211" t="str">
        <f t="shared" si="41"/>
        <v>Up</v>
      </c>
      <c r="AQ211" s="23">
        <v>3600</v>
      </c>
    </row>
    <row r="212" spans="1:43" x14ac:dyDescent="0.2">
      <c r="A212" s="226" t="s">
        <v>170</v>
      </c>
      <c r="B212" s="9" t="s">
        <v>495</v>
      </c>
      <c r="C212" s="9" t="s">
        <v>495</v>
      </c>
      <c r="D212" s="9" t="s">
        <v>495</v>
      </c>
      <c r="E212" s="9"/>
      <c r="F212" s="9" t="s">
        <v>495</v>
      </c>
      <c r="G212" s="83">
        <v>3509</v>
      </c>
      <c r="H212" s="83">
        <f t="shared" si="38"/>
        <v>3508.9999999999991</v>
      </c>
      <c r="I212" s="133">
        <f t="shared" si="39"/>
        <v>1</v>
      </c>
      <c r="J212" s="82">
        <v>104.37</v>
      </c>
      <c r="K212" s="82">
        <v>104.33</v>
      </c>
      <c r="L212" s="82">
        <v>330.03</v>
      </c>
      <c r="M212" s="82">
        <v>330.03</v>
      </c>
      <c r="N212" s="82">
        <v>330.03</v>
      </c>
      <c r="O212" s="82">
        <v>330.03</v>
      </c>
      <c r="P212" s="82">
        <v>330.03</v>
      </c>
      <c r="Q212" s="82">
        <v>330.03</v>
      </c>
      <c r="R212" s="82">
        <v>330.03</v>
      </c>
      <c r="S212" s="23">
        <v>330.03</v>
      </c>
      <c r="T212" s="23">
        <v>330.03</v>
      </c>
      <c r="U212" s="23">
        <v>330.03</v>
      </c>
      <c r="V212" s="7" t="s">
        <v>650</v>
      </c>
      <c r="W212" s="82">
        <f t="shared" si="40"/>
        <v>0</v>
      </c>
      <c r="Y212" s="4"/>
      <c r="Z212" s="4"/>
      <c r="AA212" s="82"/>
      <c r="AB212" s="82"/>
      <c r="AC212" s="82"/>
      <c r="AD212" s="23"/>
      <c r="AE212" s="7" t="s">
        <v>424</v>
      </c>
      <c r="AH212" s="23">
        <f>SUM('2021 Detail'!J206:U206)+SUM('2021 Detail'!AA206:AC206)</f>
        <v>1252</v>
      </c>
      <c r="AJ212" s="23">
        <f t="shared" si="33"/>
        <v>2256.9999999999991</v>
      </c>
      <c r="AL212" t="str">
        <f t="shared" si="41"/>
        <v>Up</v>
      </c>
      <c r="AQ212" s="23">
        <v>104.33</v>
      </c>
    </row>
    <row r="213" spans="1:43" x14ac:dyDescent="0.2">
      <c r="A213" s="226" t="s">
        <v>171</v>
      </c>
      <c r="B213" s="9" t="s">
        <v>495</v>
      </c>
      <c r="C213" s="9">
        <v>0</v>
      </c>
      <c r="D213" s="9" t="s">
        <v>495</v>
      </c>
      <c r="E213" s="9"/>
      <c r="F213" s="9">
        <v>0</v>
      </c>
      <c r="G213" s="83">
        <v>6090</v>
      </c>
      <c r="H213" s="83">
        <f t="shared" si="38"/>
        <v>6090</v>
      </c>
      <c r="I213" s="133">
        <f t="shared" si="39"/>
        <v>1</v>
      </c>
      <c r="J213" s="82">
        <v>507.5</v>
      </c>
      <c r="K213" s="82">
        <v>507.5</v>
      </c>
      <c r="L213" s="82">
        <v>507.5</v>
      </c>
      <c r="M213" s="82">
        <v>507.5</v>
      </c>
      <c r="N213" s="82">
        <v>507.5</v>
      </c>
      <c r="O213" s="82">
        <v>507.5</v>
      </c>
      <c r="P213" s="82">
        <v>507.5</v>
      </c>
      <c r="Q213" s="82">
        <v>507.5</v>
      </c>
      <c r="R213" s="82">
        <v>507.5</v>
      </c>
      <c r="S213" s="23">
        <v>507.5</v>
      </c>
      <c r="T213" s="23">
        <v>507.5</v>
      </c>
      <c r="U213" s="23">
        <v>507.5</v>
      </c>
      <c r="V213" s="7" t="s">
        <v>651</v>
      </c>
      <c r="W213" s="82">
        <f t="shared" si="40"/>
        <v>0</v>
      </c>
      <c r="Y213" s="4"/>
      <c r="Z213" s="4"/>
      <c r="AA213" s="82"/>
      <c r="AB213" s="82"/>
      <c r="AC213" s="82"/>
      <c r="AD213" s="23"/>
      <c r="AE213" s="7" t="s">
        <v>421</v>
      </c>
      <c r="AH213" s="23">
        <f>SUM('2021 Detail'!J207:U207)+SUM('2021 Detail'!AA207:AC207)</f>
        <v>5865.9999999999991</v>
      </c>
      <c r="AJ213" s="23">
        <f t="shared" si="33"/>
        <v>224.00000000000091</v>
      </c>
      <c r="AL213" t="str">
        <f t="shared" si="41"/>
        <v>Up</v>
      </c>
      <c r="AQ213" s="23">
        <v>146.16</v>
      </c>
    </row>
    <row r="214" spans="1:43" x14ac:dyDescent="0.2">
      <c r="A214" s="226" t="s">
        <v>172</v>
      </c>
      <c r="B214" s="9" t="s">
        <v>495</v>
      </c>
      <c r="C214" s="9" t="s">
        <v>495</v>
      </c>
      <c r="D214" s="9" t="s">
        <v>495</v>
      </c>
      <c r="E214" s="9"/>
      <c r="F214" s="9" t="s">
        <v>495</v>
      </c>
      <c r="G214" s="83">
        <v>3628</v>
      </c>
      <c r="H214" s="83">
        <f t="shared" si="38"/>
        <v>3627.9999999999995</v>
      </c>
      <c r="I214" s="133">
        <f t="shared" si="39"/>
        <v>1</v>
      </c>
      <c r="J214" s="82">
        <v>302.37</v>
      </c>
      <c r="K214" s="82">
        <v>302.33</v>
      </c>
      <c r="L214" s="82">
        <v>302.33</v>
      </c>
      <c r="M214" s="82">
        <v>302.33</v>
      </c>
      <c r="N214" s="82">
        <v>302.33</v>
      </c>
      <c r="O214" s="82">
        <v>302.33</v>
      </c>
      <c r="P214" s="82">
        <v>302.33</v>
      </c>
      <c r="Q214" s="82">
        <v>302.33</v>
      </c>
      <c r="R214" s="82">
        <v>302.33</v>
      </c>
      <c r="S214" s="23">
        <v>302.33</v>
      </c>
      <c r="T214" s="23">
        <v>302.33</v>
      </c>
      <c r="U214" s="23">
        <v>302.33</v>
      </c>
      <c r="V214" s="7" t="s">
        <v>652</v>
      </c>
      <c r="W214" s="82">
        <f t="shared" si="40"/>
        <v>0</v>
      </c>
      <c r="Y214" s="4"/>
      <c r="Z214" s="4"/>
      <c r="AA214" s="82"/>
      <c r="AB214" s="82"/>
      <c r="AC214" s="82"/>
      <c r="AD214" s="23"/>
      <c r="AE214" s="7" t="s">
        <v>421</v>
      </c>
      <c r="AH214" s="23">
        <f>SUM('2021 Detail'!J208:U208)+SUM('2021 Detail'!AA208:AC208)</f>
        <v>3627</v>
      </c>
      <c r="AJ214" s="23">
        <f t="shared" si="33"/>
        <v>0.99999999999954525</v>
      </c>
      <c r="AL214" t="str">
        <f t="shared" si="41"/>
        <v>Up</v>
      </c>
      <c r="AQ214" s="23">
        <v>302.25</v>
      </c>
    </row>
    <row r="215" spans="1:43" x14ac:dyDescent="0.2">
      <c r="A215" s="226" t="s">
        <v>173</v>
      </c>
      <c r="B215" s="9" t="s">
        <v>495</v>
      </c>
      <c r="C215" s="9">
        <v>0</v>
      </c>
      <c r="D215" s="9">
        <v>0</v>
      </c>
      <c r="E215" s="9"/>
      <c r="F215" s="9">
        <v>0</v>
      </c>
      <c r="G215" s="83">
        <v>4120</v>
      </c>
      <c r="H215" s="83">
        <f t="shared" si="38"/>
        <v>2884</v>
      </c>
      <c r="I215" s="133">
        <f t="shared" si="39"/>
        <v>0.7</v>
      </c>
      <c r="J215" s="82"/>
      <c r="K215" s="82"/>
      <c r="L215" s="82">
        <v>857</v>
      </c>
      <c r="M215" s="82"/>
      <c r="N215" s="82"/>
      <c r="O215" s="82">
        <v>475</v>
      </c>
      <c r="P215" s="82"/>
      <c r="Q215" s="82"/>
      <c r="R215" s="82">
        <v>578</v>
      </c>
      <c r="S215" s="23"/>
      <c r="T215" s="23"/>
      <c r="U215" s="23">
        <v>974</v>
      </c>
      <c r="V215" s="7" t="s">
        <v>653</v>
      </c>
      <c r="W215" s="82">
        <f t="shared" si="40"/>
        <v>1236</v>
      </c>
      <c r="Y215" s="4"/>
      <c r="Z215" s="4"/>
      <c r="AA215" s="82"/>
      <c r="AB215" s="82"/>
      <c r="AC215" s="82"/>
      <c r="AD215" s="23"/>
      <c r="AE215" s="7" t="s">
        <v>421</v>
      </c>
      <c r="AH215" s="23">
        <f>SUM('2021 Detail'!J209:U209)+SUM('2021 Detail'!AA209:AC209)</f>
        <v>1858.3600000000001</v>
      </c>
      <c r="AJ215" s="23">
        <f t="shared" si="33"/>
        <v>1025.6399999999999</v>
      </c>
      <c r="AL215" t="str">
        <f t="shared" si="41"/>
        <v>Up</v>
      </c>
      <c r="AQ215" s="23">
        <v>829.36</v>
      </c>
    </row>
    <row r="216" spans="1:43" x14ac:dyDescent="0.2">
      <c r="A216" s="226" t="s">
        <v>174</v>
      </c>
      <c r="B216" s="9" t="s">
        <v>495</v>
      </c>
      <c r="C216" s="9" t="s">
        <v>495</v>
      </c>
      <c r="D216" s="9" t="s">
        <v>495</v>
      </c>
      <c r="E216" s="9"/>
      <c r="F216" s="9">
        <v>0</v>
      </c>
      <c r="G216" s="83">
        <v>6139</v>
      </c>
      <c r="H216" s="83">
        <f t="shared" si="38"/>
        <v>6139</v>
      </c>
      <c r="I216" s="133">
        <f t="shared" si="39"/>
        <v>1</v>
      </c>
      <c r="J216" s="82"/>
      <c r="K216" s="82"/>
      <c r="L216" s="82">
        <v>1000</v>
      </c>
      <c r="M216" s="82"/>
      <c r="N216" s="82">
        <v>135.25</v>
      </c>
      <c r="O216" s="82">
        <v>4000</v>
      </c>
      <c r="P216" s="82"/>
      <c r="Q216" s="82"/>
      <c r="R216" s="82"/>
      <c r="S216" s="23"/>
      <c r="T216" s="23"/>
      <c r="U216" s="23">
        <v>1003.75</v>
      </c>
      <c r="V216" s="7" t="s">
        <v>654</v>
      </c>
      <c r="W216" s="82">
        <f t="shared" si="40"/>
        <v>0</v>
      </c>
      <c r="Y216" s="4"/>
      <c r="Z216" s="4"/>
      <c r="AA216" s="82"/>
      <c r="AB216" s="82"/>
      <c r="AC216" s="82"/>
      <c r="AD216" s="23"/>
      <c r="AE216" s="7" t="s">
        <v>423</v>
      </c>
      <c r="AH216" s="23">
        <f>SUM('2021 Detail'!J210:U210)+SUM('2021 Detail'!AA210:AC210)</f>
        <v>6139.25</v>
      </c>
      <c r="AJ216" s="23">
        <f t="shared" si="33"/>
        <v>-0.25</v>
      </c>
      <c r="AL216" t="str">
        <f t="shared" si="41"/>
        <v>Down</v>
      </c>
      <c r="AQ216" s="23">
        <v>1004</v>
      </c>
    </row>
    <row r="217" spans="1:43" x14ac:dyDescent="0.2">
      <c r="G217" s="83"/>
      <c r="H217" s="83"/>
      <c r="I217" s="133"/>
      <c r="Y217" s="4"/>
      <c r="Z217" s="4"/>
      <c r="AA217" s="82"/>
      <c r="AB217" s="82"/>
      <c r="AC217" s="82"/>
      <c r="AD217" s="23"/>
      <c r="AJ217" s="23"/>
    </row>
    <row r="218" spans="1:43" x14ac:dyDescent="0.2">
      <c r="A218" s="226" t="s">
        <v>1142</v>
      </c>
      <c r="G218" s="83">
        <f>SUM(G174:G217)</f>
        <v>591370</v>
      </c>
      <c r="H218" s="83">
        <f>SUM(H174:H217)</f>
        <v>451201.56999999995</v>
      </c>
      <c r="I218" s="133">
        <f t="shared" ref="I218:I219" si="42">ROUND((H218/G218),4)</f>
        <v>0.76300000000000001</v>
      </c>
      <c r="J218" s="83">
        <f t="shared" ref="J218:U218" si="43">SUM(J174:J217)</f>
        <v>20020.819999999996</v>
      </c>
      <c r="K218" s="83">
        <f t="shared" si="43"/>
        <v>24155.919999999998</v>
      </c>
      <c r="L218" s="83">
        <f t="shared" si="43"/>
        <v>46215.85</v>
      </c>
      <c r="M218" s="83">
        <f t="shared" si="43"/>
        <v>23287.1</v>
      </c>
      <c r="N218" s="83">
        <f t="shared" si="43"/>
        <v>31702.32</v>
      </c>
      <c r="O218" s="83">
        <f t="shared" si="43"/>
        <v>42791.41</v>
      </c>
      <c r="P218" s="83">
        <f t="shared" si="43"/>
        <v>26372.32</v>
      </c>
      <c r="Q218" s="83">
        <f t="shared" si="43"/>
        <v>27097.32</v>
      </c>
      <c r="R218" s="83">
        <f t="shared" si="43"/>
        <v>35587.9</v>
      </c>
      <c r="S218" s="4">
        <f t="shared" si="43"/>
        <v>28597.32</v>
      </c>
      <c r="T218" s="4">
        <f t="shared" si="43"/>
        <v>70515.319999999992</v>
      </c>
      <c r="U218" s="4">
        <f t="shared" si="43"/>
        <v>64888.470000000008</v>
      </c>
      <c r="V218" s="77"/>
      <c r="W218" s="82">
        <f>SUM(W174:W217)</f>
        <v>140168.43</v>
      </c>
      <c r="Y218" s="4"/>
      <c r="Z218" s="4"/>
      <c r="AA218" s="83">
        <f>SUM(AA174:AA217)</f>
        <v>9969.5</v>
      </c>
      <c r="AB218" s="83">
        <f>SUM(AB174:AB217)</f>
        <v>0</v>
      </c>
      <c r="AC218" s="83">
        <f>SUM(AC174:AC217)</f>
        <v>0</v>
      </c>
      <c r="AD218" s="4"/>
      <c r="AH218" s="23">
        <f>SUM(AH174:AH217)</f>
        <v>447029.13</v>
      </c>
      <c r="AJ218" s="23">
        <f t="shared" si="33"/>
        <v>4172.4399999999441</v>
      </c>
      <c r="AM218" s="11">
        <f>SUM(J218:R218)+SUM(S219:U219)+SUM('2020 detail'!AA211:AC211)</f>
        <v>423025.86000000004</v>
      </c>
      <c r="AN218" s="24">
        <f>ROUND((AM218/G218),4)</f>
        <v>0.71530000000000005</v>
      </c>
      <c r="AO218" s="24">
        <f>ROUND((SUM(J219:U219)/G219),4)</f>
        <v>0.73540000000000005</v>
      </c>
      <c r="AQ218" s="23">
        <f>SUM(AQ174:AQ217)</f>
        <v>78415.680000000008</v>
      </c>
    </row>
    <row r="219" spans="1:43" x14ac:dyDescent="0.2">
      <c r="A219" s="253" t="s">
        <v>1056</v>
      </c>
      <c r="G219" s="206">
        <f>'2021 Detail'!G212</f>
        <v>591261</v>
      </c>
      <c r="H219" s="206">
        <f>SUM(J219:U219)+SUM(AA219:AC219)</f>
        <v>447029.13000000006</v>
      </c>
      <c r="I219" s="207">
        <f t="shared" si="42"/>
        <v>0.75609999999999999</v>
      </c>
      <c r="J219" s="206">
        <f>'2021 Detail'!J212</f>
        <v>19926.689999999999</v>
      </c>
      <c r="K219" s="206">
        <f>'2021 Detail'!K212</f>
        <v>25197.93</v>
      </c>
      <c r="L219" s="206">
        <f>'2021 Detail'!L212</f>
        <v>44008.73000000001</v>
      </c>
      <c r="M219" s="206">
        <f>'2021 Detail'!M212</f>
        <v>27417.73</v>
      </c>
      <c r="N219" s="206">
        <f>'2021 Detail'!N212</f>
        <v>24046.73</v>
      </c>
      <c r="O219" s="206">
        <f>'2021 Detail'!O212</f>
        <v>42528.73000000001</v>
      </c>
      <c r="P219" s="206">
        <f>'2021 Detail'!P212</f>
        <v>29585.73</v>
      </c>
      <c r="Q219" s="206">
        <f>'2021 Detail'!Q212</f>
        <v>37194.230000000003</v>
      </c>
      <c r="R219" s="206">
        <f>'2021 Detail'!R212</f>
        <v>39131.73000000001</v>
      </c>
      <c r="S219" s="206">
        <f>'2021 Detail'!S212</f>
        <v>34511.570000000007</v>
      </c>
      <c r="T219" s="206">
        <f>'2021 Detail'!T212</f>
        <v>32867.650000000009</v>
      </c>
      <c r="U219" s="206">
        <f>'2021 Detail'!U212</f>
        <v>78415.680000000008</v>
      </c>
      <c r="V219" s="206"/>
      <c r="W219" s="206"/>
      <c r="X219" s="206"/>
      <c r="Y219" s="4"/>
      <c r="Z219" s="4"/>
      <c r="AA219" s="206">
        <f>'2021 Detail'!AA212</f>
        <v>12196</v>
      </c>
      <c r="AB219" s="206">
        <f>'2021 Detail'!AB212</f>
        <v>0</v>
      </c>
      <c r="AC219" s="206">
        <f>'2021 Detail'!AC212</f>
        <v>0</v>
      </c>
      <c r="AJ219" s="23"/>
    </row>
    <row r="220" spans="1:43" x14ac:dyDescent="0.2">
      <c r="J220" s="83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Y220" s="4"/>
      <c r="Z220" s="4"/>
      <c r="AJ220" s="23"/>
    </row>
    <row r="221" spans="1:43" x14ac:dyDescent="0.2">
      <c r="A221" s="226" t="str">
        <f t="shared" ref="A221:U221" si="44">A$510</f>
        <v>Diocesan Total 2022</v>
      </c>
      <c r="B221" s="226">
        <f t="shared" si="44"/>
        <v>0</v>
      </c>
      <c r="C221" s="226">
        <f t="shared" si="44"/>
        <v>0</v>
      </c>
      <c r="D221" s="258">
        <f t="shared" si="44"/>
        <v>0</v>
      </c>
      <c r="E221" s="226">
        <f t="shared" si="44"/>
        <v>0</v>
      </c>
      <c r="F221" s="226">
        <f t="shared" si="44"/>
        <v>0</v>
      </c>
      <c r="G221" s="83">
        <f t="shared" si="44"/>
        <v>8116012</v>
      </c>
      <c r="H221" s="83">
        <f t="shared" si="44"/>
        <v>6559276.3399999999</v>
      </c>
      <c r="I221" s="133">
        <f t="shared" si="44"/>
        <v>0.80820000000000003</v>
      </c>
      <c r="J221" s="83">
        <f t="shared" si="44"/>
        <v>378351.23</v>
      </c>
      <c r="K221" s="83">
        <f t="shared" si="44"/>
        <v>449442.02</v>
      </c>
      <c r="L221" s="83">
        <f t="shared" si="44"/>
        <v>517036.34</v>
      </c>
      <c r="M221" s="83">
        <f t="shared" si="44"/>
        <v>434875.54000000004</v>
      </c>
      <c r="N221" s="83">
        <f t="shared" si="44"/>
        <v>497786.23</v>
      </c>
      <c r="O221" s="83">
        <f t="shared" si="44"/>
        <v>599586.94000000006</v>
      </c>
      <c r="P221" s="83">
        <f t="shared" si="44"/>
        <v>498701.35</v>
      </c>
      <c r="Q221" s="83">
        <f t="shared" si="44"/>
        <v>538018.41999999993</v>
      </c>
      <c r="R221" s="83">
        <f t="shared" si="44"/>
        <v>551902.79</v>
      </c>
      <c r="S221" s="4">
        <f t="shared" si="44"/>
        <v>564217.18000000005</v>
      </c>
      <c r="T221" s="4">
        <f t="shared" si="44"/>
        <v>645999.05000000005</v>
      </c>
      <c r="U221" s="4">
        <f t="shared" si="44"/>
        <v>736614.44</v>
      </c>
      <c r="V221" s="77"/>
      <c r="W221" s="82"/>
      <c r="X221" s="4"/>
      <c r="Y221" s="4"/>
      <c r="Z221" s="4"/>
      <c r="AA221" s="83"/>
      <c r="AB221" s="83"/>
      <c r="AC221" s="83"/>
      <c r="AD221" s="4"/>
      <c r="AH221" s="23">
        <f>AH$510</f>
        <v>6587993.7699999996</v>
      </c>
      <c r="AJ221" s="23">
        <f>AJ$510</f>
        <v>-28717.429999999702</v>
      </c>
    </row>
    <row r="222" spans="1:43" x14ac:dyDescent="0.2">
      <c r="A222" s="253" t="str">
        <f t="shared" ref="A222:U222" si="45">A$511</f>
        <v>Diocesan Total 2021</v>
      </c>
      <c r="B222" s="253">
        <f t="shared" si="45"/>
        <v>0</v>
      </c>
      <c r="C222" s="253">
        <f t="shared" si="45"/>
        <v>0</v>
      </c>
      <c r="D222" s="259">
        <f t="shared" si="45"/>
        <v>0</v>
      </c>
      <c r="E222" s="253">
        <f t="shared" si="45"/>
        <v>0</v>
      </c>
      <c r="F222" s="253">
        <f t="shared" si="45"/>
        <v>0</v>
      </c>
      <c r="G222" s="206">
        <f t="shared" si="45"/>
        <v>8132853</v>
      </c>
      <c r="H222" s="206">
        <f t="shared" si="45"/>
        <v>6587993.7700000005</v>
      </c>
      <c r="I222" s="207">
        <f t="shared" si="45"/>
        <v>0.81</v>
      </c>
      <c r="J222" s="206">
        <f t="shared" si="45"/>
        <v>340336.86</v>
      </c>
      <c r="K222" s="206">
        <f t="shared" si="45"/>
        <v>407387.73</v>
      </c>
      <c r="L222" s="206">
        <f t="shared" si="45"/>
        <v>497955.59</v>
      </c>
      <c r="M222" s="206">
        <f t="shared" si="45"/>
        <v>513800.89999999997</v>
      </c>
      <c r="N222" s="206">
        <f t="shared" si="45"/>
        <v>483760.16000000003</v>
      </c>
      <c r="O222" s="206">
        <f t="shared" si="45"/>
        <v>527451.71000000008</v>
      </c>
      <c r="P222" s="206">
        <f t="shared" si="45"/>
        <v>582882.6100000001</v>
      </c>
      <c r="Q222" s="206">
        <f t="shared" si="45"/>
        <v>489302.35</v>
      </c>
      <c r="R222" s="206">
        <f t="shared" si="45"/>
        <v>548459.72</v>
      </c>
      <c r="S222" s="206">
        <f t="shared" si="45"/>
        <v>527708.16999999993</v>
      </c>
      <c r="T222" s="206">
        <f t="shared" si="45"/>
        <v>616975.80999999994</v>
      </c>
      <c r="U222" s="206">
        <f t="shared" si="45"/>
        <v>907302.59</v>
      </c>
      <c r="V222" s="206"/>
      <c r="W222" s="206"/>
      <c r="X222" s="206"/>
      <c r="Y222" s="4"/>
      <c r="Z222" s="4"/>
      <c r="AA222" s="206"/>
      <c r="AB222" s="206"/>
      <c r="AC222" s="206"/>
      <c r="AJ222" s="23"/>
    </row>
    <row r="223" spans="1:43" ht="15.75" x14ac:dyDescent="0.25">
      <c r="G223" s="196" t="s">
        <v>11</v>
      </c>
      <c r="Y223" s="4"/>
      <c r="Z223" s="4"/>
      <c r="AH223" s="171" t="s">
        <v>1136</v>
      </c>
      <c r="AI223" s="172"/>
      <c r="AJ223" s="171" t="s">
        <v>1064</v>
      </c>
    </row>
    <row r="224" spans="1:43" x14ac:dyDescent="0.2">
      <c r="Y224" s="4"/>
      <c r="Z224" s="4"/>
      <c r="AH224" s="171" t="s">
        <v>1137</v>
      </c>
      <c r="AI224" s="172"/>
      <c r="AJ224" s="171" t="s">
        <v>1138</v>
      </c>
    </row>
    <row r="225" spans="1:45" ht="16.5" x14ac:dyDescent="0.25">
      <c r="A225" s="250"/>
      <c r="B225" s="8"/>
      <c r="C225" s="8"/>
      <c r="E225" s="8"/>
      <c r="F225" s="8"/>
      <c r="G225" s="208" t="str">
        <f>$G$3</f>
        <v>2022 PARISH SHARE INFORMATION AS AT 31 DECEMBER 2022</v>
      </c>
      <c r="H225" s="209"/>
      <c r="W225" s="194"/>
      <c r="X225"/>
      <c r="Y225" s="4"/>
      <c r="Z225" s="4"/>
      <c r="AA225"/>
      <c r="AB225"/>
      <c r="AC225"/>
      <c r="AH225" s="172"/>
      <c r="AI225" s="172"/>
      <c r="AJ225" s="171" t="s">
        <v>1139</v>
      </c>
    </row>
    <row r="226" spans="1:45" x14ac:dyDescent="0.2">
      <c r="A226" s="250"/>
      <c r="G226" s="205"/>
      <c r="H226" s="197"/>
      <c r="W226" s="194"/>
      <c r="X226"/>
      <c r="Y226" s="4"/>
      <c r="Z226" s="4"/>
      <c r="AA226"/>
      <c r="AB226"/>
      <c r="AC226"/>
    </row>
    <row r="227" spans="1:45" ht="16.5" x14ac:dyDescent="0.25">
      <c r="A227" s="251" t="s">
        <v>1</v>
      </c>
      <c r="B227" s="151" t="str">
        <f>$B$5</f>
        <v>RM</v>
      </c>
      <c r="C227" s="151" t="str">
        <f>$C$5</f>
        <v>RF</v>
      </c>
      <c r="D227" s="151" t="str">
        <f>$D$5</f>
        <v>Accts</v>
      </c>
      <c r="E227" s="151"/>
      <c r="F227" s="151" t="str">
        <f>$F$5</f>
        <v>Share DD</v>
      </c>
      <c r="G227" s="210" t="str">
        <f>$G$5</f>
        <v xml:space="preserve">2022 Share </v>
      </c>
      <c r="H227" s="211" t="str">
        <f>$H$5</f>
        <v xml:space="preserve">2022 Paid </v>
      </c>
      <c r="I227" s="211" t="str">
        <f>$I$5</f>
        <v xml:space="preserve">% Paid </v>
      </c>
      <c r="J227" s="212">
        <f>$J$5</f>
        <v>44592</v>
      </c>
      <c r="K227" s="212">
        <f>$K$5</f>
        <v>44620</v>
      </c>
      <c r="L227" s="212">
        <f>$L$5</f>
        <v>44651</v>
      </c>
      <c r="M227" s="212">
        <f>$M$5</f>
        <v>44681</v>
      </c>
      <c r="N227" s="212">
        <f>$N$5</f>
        <v>44712</v>
      </c>
      <c r="O227" s="212">
        <f>$O$5</f>
        <v>44742</v>
      </c>
      <c r="P227" s="212">
        <f>$P$5</f>
        <v>44773</v>
      </c>
      <c r="Q227" s="212">
        <f>$Q$5</f>
        <v>44804</v>
      </c>
      <c r="R227" s="212">
        <f>$R$5</f>
        <v>44834</v>
      </c>
      <c r="S227" s="155">
        <f>$S$5</f>
        <v>44865</v>
      </c>
      <c r="T227" s="155">
        <f>$T$5</f>
        <v>44895</v>
      </c>
      <c r="U227" s="155">
        <f>$U$5</f>
        <v>44926</v>
      </c>
      <c r="V227" s="78"/>
      <c r="W227" s="195" t="str">
        <f>$W$5</f>
        <v xml:space="preserve">Outstanding </v>
      </c>
      <c r="X227" s="2"/>
      <c r="Y227" s="4"/>
      <c r="Z227" s="4"/>
      <c r="AA227" s="2">
        <f>$AA$5</f>
        <v>44957</v>
      </c>
      <c r="AB227" s="2">
        <f>$AB$5</f>
        <v>44985</v>
      </c>
      <c r="AC227" s="2">
        <f>$AC$5</f>
        <v>45016</v>
      </c>
      <c r="AE227" s="152" t="str">
        <f>$AE$5</f>
        <v>Benefice</v>
      </c>
      <c r="AH227" s="16" t="s">
        <v>1141</v>
      </c>
      <c r="AJ227" s="170" t="s">
        <v>1140</v>
      </c>
      <c r="AQ227" s="222">
        <v>44575</v>
      </c>
    </row>
    <row r="228" spans="1:45" ht="16.5" x14ac:dyDescent="0.25">
      <c r="A228" s="250"/>
      <c r="G228" s="201" t="s">
        <v>1040</v>
      </c>
      <c r="H228" s="202" t="s">
        <v>1040</v>
      </c>
      <c r="I228" s="203"/>
      <c r="J228" s="202" t="s">
        <v>1040</v>
      </c>
      <c r="K228" s="202" t="s">
        <v>1040</v>
      </c>
      <c r="L228" s="202" t="s">
        <v>1040</v>
      </c>
      <c r="M228" s="202" t="s">
        <v>1040</v>
      </c>
      <c r="N228" s="202" t="s">
        <v>1040</v>
      </c>
      <c r="O228" s="202" t="s">
        <v>1040</v>
      </c>
      <c r="P228" s="202" t="s">
        <v>1040</v>
      </c>
      <c r="Q228" s="202" t="s">
        <v>1040</v>
      </c>
      <c r="R228" s="202" t="s">
        <v>1040</v>
      </c>
      <c r="S228" s="147" t="s">
        <v>1040</v>
      </c>
      <c r="T228" s="147" t="s">
        <v>1040</v>
      </c>
      <c r="U228" s="147" t="s">
        <v>1040</v>
      </c>
      <c r="W228" s="194"/>
      <c r="X228"/>
      <c r="Y228" s="4"/>
      <c r="Z228" s="4"/>
      <c r="AA228"/>
      <c r="AB228"/>
      <c r="AC228"/>
      <c r="AJ228" s="23"/>
    </row>
    <row r="229" spans="1:45" x14ac:dyDescent="0.2">
      <c r="Y229" s="4"/>
      <c r="Z229" s="4"/>
      <c r="AJ229" s="23"/>
    </row>
    <row r="230" spans="1:45" x14ac:dyDescent="0.2">
      <c r="A230" s="226" t="s">
        <v>175</v>
      </c>
      <c r="B230" s="9" t="s">
        <v>495</v>
      </c>
      <c r="C230" s="9" t="s">
        <v>495</v>
      </c>
      <c r="D230" s="9" t="s">
        <v>495</v>
      </c>
      <c r="E230" s="9"/>
      <c r="F230" s="9">
        <v>0</v>
      </c>
      <c r="G230" s="83">
        <v>22679</v>
      </c>
      <c r="H230" s="83">
        <f t="shared" ref="H230:H261" si="46">SUM(J230:U230)+SUM(AA230:AC230)</f>
        <v>16500</v>
      </c>
      <c r="I230" s="133">
        <f t="shared" ref="I230:I261" si="47">ROUND((H230/G230),4)</f>
        <v>0.72750000000000004</v>
      </c>
      <c r="J230" s="82">
        <v>1000</v>
      </c>
      <c r="K230" s="82">
        <v>1000</v>
      </c>
      <c r="L230" s="82">
        <v>1000</v>
      </c>
      <c r="M230" s="82">
        <v>1000</v>
      </c>
      <c r="N230" s="82">
        <v>1000</v>
      </c>
      <c r="O230" s="82">
        <v>1000</v>
      </c>
      <c r="P230" s="82">
        <v>1500</v>
      </c>
      <c r="Q230" s="82">
        <v>1000</v>
      </c>
      <c r="R230" s="82">
        <v>1000</v>
      </c>
      <c r="S230" s="23">
        <v>1500</v>
      </c>
      <c r="T230" s="23">
        <v>1000</v>
      </c>
      <c r="U230" s="23">
        <v>4500</v>
      </c>
      <c r="V230" s="7" t="s">
        <v>655</v>
      </c>
      <c r="W230" s="82">
        <f t="shared" ref="W230:W261" si="48">G230-H230</f>
        <v>6179</v>
      </c>
      <c r="Y230" s="4"/>
      <c r="Z230" s="4"/>
      <c r="AA230" s="82"/>
      <c r="AB230" s="82"/>
      <c r="AC230" s="82"/>
      <c r="AD230" s="23"/>
      <c r="AE230" s="7" t="s">
        <v>437</v>
      </c>
      <c r="AH230" s="23">
        <f>SUM('2021 Detail'!J222:U222)+SUM('2021 Detail'!AA222:AC222)</f>
        <v>13000</v>
      </c>
      <c r="AJ230" s="23">
        <f t="shared" ref="AJ230:AJ263" si="49">H230-AH230</f>
        <v>3500</v>
      </c>
      <c r="AL230" t="str">
        <f t="shared" ref="AL230:AL261" si="50">IF(AJ230&lt;0,"Down",IF(AJ230&gt;0,"Up","Same"))</f>
        <v>Up</v>
      </c>
      <c r="AQ230" s="23">
        <v>1500</v>
      </c>
    </row>
    <row r="231" spans="1:45" x14ac:dyDescent="0.2">
      <c r="A231" s="226" t="s">
        <v>176</v>
      </c>
      <c r="B231" s="9" t="s">
        <v>495</v>
      </c>
      <c r="C231" s="9" t="s">
        <v>495</v>
      </c>
      <c r="D231" s="9">
        <v>0</v>
      </c>
      <c r="E231" s="9"/>
      <c r="F231" s="9">
        <v>0</v>
      </c>
      <c r="G231" s="83">
        <v>4123</v>
      </c>
      <c r="H231" s="83">
        <f t="shared" si="46"/>
        <v>1000</v>
      </c>
      <c r="I231" s="133">
        <f t="shared" si="47"/>
        <v>0.24249999999999999</v>
      </c>
      <c r="J231" s="82"/>
      <c r="K231" s="82"/>
      <c r="L231" s="82"/>
      <c r="M231" s="82"/>
      <c r="N231" s="82"/>
      <c r="O231" s="82"/>
      <c r="P231" s="82"/>
      <c r="Q231" s="82"/>
      <c r="R231" s="82"/>
      <c r="S231" s="23"/>
      <c r="T231" s="23"/>
      <c r="U231" s="23">
        <v>1000</v>
      </c>
      <c r="V231" s="7" t="s">
        <v>656</v>
      </c>
      <c r="W231" s="82">
        <f t="shared" si="48"/>
        <v>3123</v>
      </c>
      <c r="Y231" s="4"/>
      <c r="Z231" s="4"/>
      <c r="AA231" s="82"/>
      <c r="AB231" s="82"/>
      <c r="AC231" s="82"/>
      <c r="AD231" s="23"/>
      <c r="AE231" s="7" t="s">
        <v>437</v>
      </c>
      <c r="AH231" s="23">
        <f>SUM('2021 Detail'!J223:U223)+SUM('2021 Detail'!AA223:AC223)</f>
        <v>1000</v>
      </c>
      <c r="AJ231" s="23">
        <f t="shared" si="49"/>
        <v>0</v>
      </c>
      <c r="AL231" t="str">
        <f t="shared" si="50"/>
        <v>Same</v>
      </c>
      <c r="AQ231" s="23">
        <v>688</v>
      </c>
    </row>
    <row r="232" spans="1:45" x14ac:dyDescent="0.2">
      <c r="A232" s="226" t="s">
        <v>177</v>
      </c>
      <c r="B232" s="9" t="s">
        <v>495</v>
      </c>
      <c r="C232" s="9" t="s">
        <v>495</v>
      </c>
      <c r="D232" s="9" t="s">
        <v>495</v>
      </c>
      <c r="E232" s="9"/>
      <c r="F232" s="9">
        <v>0</v>
      </c>
      <c r="G232" s="83">
        <v>69606</v>
      </c>
      <c r="H232" s="83">
        <f t="shared" si="46"/>
        <v>69606</v>
      </c>
      <c r="I232" s="133">
        <f t="shared" si="47"/>
        <v>1</v>
      </c>
      <c r="J232" s="82">
        <v>5800.5</v>
      </c>
      <c r="K232" s="82">
        <v>5800.5</v>
      </c>
      <c r="L232" s="82">
        <v>5800.5</v>
      </c>
      <c r="M232" s="82">
        <v>5800.5</v>
      </c>
      <c r="N232" s="82">
        <v>5800.5</v>
      </c>
      <c r="O232" s="82">
        <v>5800.5</v>
      </c>
      <c r="P232" s="82">
        <v>5800.5</v>
      </c>
      <c r="Q232" s="82">
        <v>5800.5</v>
      </c>
      <c r="R232" s="82">
        <v>5800.5</v>
      </c>
      <c r="S232" s="23">
        <v>5800.5</v>
      </c>
      <c r="T232" s="23">
        <v>5800.5</v>
      </c>
      <c r="U232" s="23">
        <v>5800.5</v>
      </c>
      <c r="V232" s="7" t="s">
        <v>657</v>
      </c>
      <c r="W232" s="82">
        <f t="shared" si="48"/>
        <v>0</v>
      </c>
      <c r="Y232" s="4"/>
      <c r="Z232" s="4"/>
      <c r="AA232" s="82"/>
      <c r="AB232" s="82"/>
      <c r="AC232" s="82"/>
      <c r="AD232" s="23"/>
      <c r="AE232" s="7" t="s">
        <v>428</v>
      </c>
      <c r="AH232" s="23">
        <f>SUM('2021 Detail'!J224:U224)+SUM('2021 Detail'!AA224:AC224)</f>
        <v>50000</v>
      </c>
      <c r="AJ232" s="23">
        <f t="shared" si="49"/>
        <v>19606</v>
      </c>
      <c r="AL232" t="str">
        <f t="shared" si="50"/>
        <v>Up</v>
      </c>
      <c r="AQ232" s="23">
        <v>6000</v>
      </c>
    </row>
    <row r="233" spans="1:45" x14ac:dyDescent="0.2">
      <c r="A233" s="226" t="s">
        <v>178</v>
      </c>
      <c r="B233" s="9" t="s">
        <v>495</v>
      </c>
      <c r="C233" s="9" t="s">
        <v>495</v>
      </c>
      <c r="D233" s="9">
        <v>0</v>
      </c>
      <c r="E233" s="9"/>
      <c r="F233" s="9" t="s">
        <v>495</v>
      </c>
      <c r="G233" s="83">
        <v>23397</v>
      </c>
      <c r="H233" s="83">
        <f t="shared" si="46"/>
        <v>18062</v>
      </c>
      <c r="I233" s="133">
        <f t="shared" si="47"/>
        <v>0.77200000000000002</v>
      </c>
      <c r="J233" s="82"/>
      <c r="K233" s="82"/>
      <c r="L233" s="82">
        <v>2500</v>
      </c>
      <c r="M233" s="82">
        <v>5000</v>
      </c>
      <c r="N233" s="82"/>
      <c r="O233" s="82">
        <v>2000</v>
      </c>
      <c r="P233" s="82"/>
      <c r="Q233" s="82">
        <v>4000</v>
      </c>
      <c r="R233" s="82"/>
      <c r="S233" s="23">
        <v>250</v>
      </c>
      <c r="T233" s="23">
        <v>2000</v>
      </c>
      <c r="U233" s="23">
        <v>2312</v>
      </c>
      <c r="V233" s="7" t="s">
        <v>658</v>
      </c>
      <c r="W233" s="82">
        <f t="shared" si="48"/>
        <v>5335</v>
      </c>
      <c r="Y233" s="4"/>
      <c r="Z233" s="4"/>
      <c r="AA233" s="82"/>
      <c r="AB233" s="82"/>
      <c r="AC233" s="82"/>
      <c r="AD233" s="23"/>
      <c r="AE233" s="7" t="s">
        <v>429</v>
      </c>
      <c r="AH233" s="23">
        <f>SUM('2021 Detail'!J225:U225)+SUM('2021 Detail'!AA225:AC225)</f>
        <v>23396.240000000002</v>
      </c>
      <c r="AJ233" s="23">
        <f t="shared" si="49"/>
        <v>-5334.2400000000016</v>
      </c>
      <c r="AL233" t="str">
        <f t="shared" si="50"/>
        <v>Down</v>
      </c>
      <c r="AQ233" s="23">
        <v>5849.22</v>
      </c>
    </row>
    <row r="234" spans="1:45" x14ac:dyDescent="0.2">
      <c r="A234" s="226" t="s">
        <v>179</v>
      </c>
      <c r="B234" s="9" t="s">
        <v>495</v>
      </c>
      <c r="C234" s="9" t="s">
        <v>495</v>
      </c>
      <c r="D234" s="9" t="s">
        <v>495</v>
      </c>
      <c r="E234" s="9"/>
      <c r="F234" s="9">
        <v>0</v>
      </c>
      <c r="G234" s="83">
        <v>23396</v>
      </c>
      <c r="H234" s="83">
        <f t="shared" si="46"/>
        <v>22483</v>
      </c>
      <c r="I234" s="133">
        <f t="shared" si="47"/>
        <v>0.96099999999999997</v>
      </c>
      <c r="J234" s="82"/>
      <c r="K234" s="82"/>
      <c r="L234" s="82">
        <v>4000</v>
      </c>
      <c r="M234" s="82">
        <v>4283</v>
      </c>
      <c r="N234" s="82"/>
      <c r="O234" s="82">
        <v>2000</v>
      </c>
      <c r="P234" s="82">
        <v>1200</v>
      </c>
      <c r="Q234" s="82">
        <v>1600</v>
      </c>
      <c r="R234" s="82">
        <v>3000</v>
      </c>
      <c r="S234" s="23">
        <v>2000</v>
      </c>
      <c r="T234" s="23">
        <v>1200</v>
      </c>
      <c r="U234" s="23">
        <v>3200</v>
      </c>
      <c r="V234" s="7" t="s">
        <v>659</v>
      </c>
      <c r="W234" s="82">
        <f t="shared" si="48"/>
        <v>913</v>
      </c>
      <c r="Y234" s="4"/>
      <c r="Z234" s="4"/>
      <c r="AA234" s="82"/>
      <c r="AB234" s="82"/>
      <c r="AC234" s="82"/>
      <c r="AD234" s="23"/>
      <c r="AE234" s="7" t="s">
        <v>429</v>
      </c>
      <c r="AH234" s="23">
        <f>SUM('2021 Detail'!J226:U226)+SUM('2021 Detail'!AA226:AC226)</f>
        <v>16400</v>
      </c>
      <c r="AJ234" s="23">
        <f t="shared" si="49"/>
        <v>6083</v>
      </c>
      <c r="AL234" t="str">
        <f t="shared" si="50"/>
        <v>Up</v>
      </c>
      <c r="AQ234" s="23">
        <v>800</v>
      </c>
    </row>
    <row r="235" spans="1:45" x14ac:dyDescent="0.2">
      <c r="A235" s="226" t="s">
        <v>180</v>
      </c>
      <c r="B235" s="9" t="s">
        <v>495</v>
      </c>
      <c r="C235" s="9" t="s">
        <v>495</v>
      </c>
      <c r="D235" s="9">
        <v>0</v>
      </c>
      <c r="E235" s="9"/>
      <c r="F235" s="9">
        <v>0</v>
      </c>
      <c r="G235" s="83">
        <v>23396</v>
      </c>
      <c r="H235" s="83">
        <f t="shared" si="46"/>
        <v>23396</v>
      </c>
      <c r="I235" s="133">
        <f t="shared" si="47"/>
        <v>1</v>
      </c>
      <c r="J235" s="82"/>
      <c r="K235" s="82"/>
      <c r="L235" s="82">
        <v>1396</v>
      </c>
      <c r="M235" s="82">
        <v>1000</v>
      </c>
      <c r="N235" s="82">
        <v>3000</v>
      </c>
      <c r="O235" s="82">
        <v>2000</v>
      </c>
      <c r="P235" s="82">
        <v>3000</v>
      </c>
      <c r="Q235" s="82">
        <v>3000</v>
      </c>
      <c r="R235" s="82">
        <v>4000</v>
      </c>
      <c r="S235" s="23">
        <v>3000</v>
      </c>
      <c r="T235" s="23"/>
      <c r="U235" s="23">
        <v>3000</v>
      </c>
      <c r="V235" s="7" t="s">
        <v>660</v>
      </c>
      <c r="W235" s="82">
        <f t="shared" si="48"/>
        <v>0</v>
      </c>
      <c r="Y235" s="4"/>
      <c r="Z235" s="4"/>
      <c r="AA235" s="82"/>
      <c r="AB235" s="82"/>
      <c r="AC235" s="82"/>
      <c r="AD235" s="23"/>
      <c r="AE235" s="7" t="s">
        <v>429</v>
      </c>
      <c r="AH235" s="23">
        <f>SUM('2021 Detail'!J227:U227)+SUM('2021 Detail'!AA227:AC227)</f>
        <v>23396</v>
      </c>
      <c r="AJ235" s="23">
        <f t="shared" si="49"/>
        <v>0</v>
      </c>
      <c r="AL235" t="str">
        <f t="shared" si="50"/>
        <v>Same</v>
      </c>
      <c r="AQ235" s="23">
        <v>3500</v>
      </c>
      <c r="AS235">
        <v>2396</v>
      </c>
    </row>
    <row r="236" spans="1:45" x14ac:dyDescent="0.2">
      <c r="A236" s="226" t="s">
        <v>181</v>
      </c>
      <c r="B236" s="9" t="s">
        <v>495</v>
      </c>
      <c r="C236" s="9" t="s">
        <v>495</v>
      </c>
      <c r="D236" s="9" t="s">
        <v>495</v>
      </c>
      <c r="E236" s="9"/>
      <c r="F236" s="9" t="s">
        <v>495</v>
      </c>
      <c r="G236" s="83">
        <v>6013</v>
      </c>
      <c r="H236" s="83">
        <f t="shared" si="46"/>
        <v>1200</v>
      </c>
      <c r="I236" s="133">
        <f t="shared" si="47"/>
        <v>0.1996</v>
      </c>
      <c r="J236" s="82">
        <v>100</v>
      </c>
      <c r="K236" s="82">
        <v>100</v>
      </c>
      <c r="L236" s="82">
        <v>100</v>
      </c>
      <c r="M236" s="82">
        <v>100</v>
      </c>
      <c r="N236" s="82">
        <v>100</v>
      </c>
      <c r="O236" s="82">
        <v>100</v>
      </c>
      <c r="P236" s="82">
        <v>100</v>
      </c>
      <c r="Q236" s="82">
        <v>100</v>
      </c>
      <c r="R236" s="82">
        <v>100</v>
      </c>
      <c r="S236" s="23">
        <v>100</v>
      </c>
      <c r="T236" s="23">
        <v>100</v>
      </c>
      <c r="U236" s="23">
        <v>100</v>
      </c>
      <c r="V236" s="7" t="s">
        <v>661</v>
      </c>
      <c r="W236" s="82">
        <f t="shared" si="48"/>
        <v>4813</v>
      </c>
      <c r="Y236" s="4"/>
      <c r="Z236" s="4"/>
      <c r="AA236" s="82"/>
      <c r="AB236" s="82"/>
      <c r="AC236" s="82"/>
      <c r="AD236" s="23"/>
      <c r="AE236" s="7" t="s">
        <v>430</v>
      </c>
      <c r="AH236" s="23">
        <f>SUM('2021 Detail'!J228:U228)+SUM('2021 Detail'!AA228:AC228)</f>
        <v>1200</v>
      </c>
      <c r="AJ236" s="23">
        <f t="shared" si="49"/>
        <v>0</v>
      </c>
      <c r="AL236" t="str">
        <f t="shared" si="50"/>
        <v>Same</v>
      </c>
      <c r="AQ236" s="23">
        <v>100</v>
      </c>
    </row>
    <row r="237" spans="1:45" x14ac:dyDescent="0.2">
      <c r="A237" s="226" t="s">
        <v>182</v>
      </c>
      <c r="B237" s="9" t="s">
        <v>495</v>
      </c>
      <c r="C237" s="9" t="s">
        <v>495</v>
      </c>
      <c r="D237" s="9" t="s">
        <v>495</v>
      </c>
      <c r="E237" s="9"/>
      <c r="F237" s="9" t="s">
        <v>495</v>
      </c>
      <c r="G237" s="83">
        <v>15032</v>
      </c>
      <c r="H237" s="83">
        <f t="shared" si="46"/>
        <v>6000</v>
      </c>
      <c r="I237" s="133">
        <f t="shared" si="47"/>
        <v>0.39910000000000001</v>
      </c>
      <c r="J237" s="82">
        <v>250</v>
      </c>
      <c r="K237" s="82">
        <v>250</v>
      </c>
      <c r="L237" s="82">
        <v>250</v>
      </c>
      <c r="M237" s="82">
        <v>250</v>
      </c>
      <c r="N237" s="82">
        <v>250</v>
      </c>
      <c r="O237" s="82">
        <v>250</v>
      </c>
      <c r="P237" s="82">
        <v>250</v>
      </c>
      <c r="Q237" s="82">
        <v>250</v>
      </c>
      <c r="R237" s="82">
        <v>250</v>
      </c>
      <c r="S237" s="23">
        <v>250</v>
      </c>
      <c r="T237" s="23">
        <v>250</v>
      </c>
      <c r="U237" s="23">
        <v>3250</v>
      </c>
      <c r="V237" s="7" t="s">
        <v>662</v>
      </c>
      <c r="W237" s="82">
        <f t="shared" si="48"/>
        <v>9032</v>
      </c>
      <c r="Y237" s="4"/>
      <c r="Z237" s="4"/>
      <c r="AA237" s="82"/>
      <c r="AB237" s="82"/>
      <c r="AC237" s="82"/>
      <c r="AD237" s="23"/>
      <c r="AE237" s="7" t="s">
        <v>430</v>
      </c>
      <c r="AH237" s="23">
        <f>SUM('2021 Detail'!J229:U229)+SUM('2021 Detail'!AA229:AC229)</f>
        <v>9000</v>
      </c>
      <c r="AJ237" s="23">
        <f t="shared" si="49"/>
        <v>-3000</v>
      </c>
      <c r="AL237" t="str">
        <f t="shared" si="50"/>
        <v>Down</v>
      </c>
      <c r="AQ237" s="23">
        <v>250</v>
      </c>
      <c r="AS237">
        <v>6000</v>
      </c>
    </row>
    <row r="238" spans="1:45" x14ac:dyDescent="0.2">
      <c r="A238" s="226" t="s">
        <v>183</v>
      </c>
      <c r="B238" s="9" t="s">
        <v>495</v>
      </c>
      <c r="C238" s="9" t="s">
        <v>495</v>
      </c>
      <c r="D238" s="9" t="s">
        <v>495</v>
      </c>
      <c r="E238" s="9"/>
      <c r="F238" s="9">
        <v>0</v>
      </c>
      <c r="G238" s="83">
        <v>20294</v>
      </c>
      <c r="H238" s="83">
        <f t="shared" si="46"/>
        <v>16950</v>
      </c>
      <c r="I238" s="133">
        <f t="shared" si="47"/>
        <v>0.83520000000000005</v>
      </c>
      <c r="J238" s="82">
        <v>750</v>
      </c>
      <c r="K238" s="82">
        <v>750</v>
      </c>
      <c r="L238" s="82">
        <v>750</v>
      </c>
      <c r="M238" s="82">
        <v>750</v>
      </c>
      <c r="N238" s="82">
        <v>2550</v>
      </c>
      <c r="O238" s="82">
        <v>1200</v>
      </c>
      <c r="P238" s="82">
        <v>1200</v>
      </c>
      <c r="Q238" s="82">
        <v>1200</v>
      </c>
      <c r="R238" s="82">
        <v>1200</v>
      </c>
      <c r="S238" s="23">
        <v>1200</v>
      </c>
      <c r="T238" s="23">
        <v>1200</v>
      </c>
      <c r="U238" s="23">
        <v>4200</v>
      </c>
      <c r="V238" s="7" t="s">
        <v>663</v>
      </c>
      <c r="W238" s="82">
        <f t="shared" si="48"/>
        <v>3344</v>
      </c>
      <c r="Y238" s="4"/>
      <c r="Z238" s="4"/>
      <c r="AA238" s="82"/>
      <c r="AB238" s="82"/>
      <c r="AC238" s="82"/>
      <c r="AD238" s="23"/>
      <c r="AE238" s="7" t="s">
        <v>430</v>
      </c>
      <c r="AH238" s="23">
        <f>SUM('2021 Detail'!J230:U230)+SUM('2021 Detail'!AA230:AC230)</f>
        <v>16312</v>
      </c>
      <c r="AJ238" s="23">
        <f t="shared" si="49"/>
        <v>638</v>
      </c>
      <c r="AL238" t="str">
        <f t="shared" si="50"/>
        <v>Up</v>
      </c>
      <c r="AQ238" s="23">
        <v>5750</v>
      </c>
    </row>
    <row r="239" spans="1:45" x14ac:dyDescent="0.2">
      <c r="A239" s="226" t="s">
        <v>184</v>
      </c>
      <c r="B239" s="9" t="s">
        <v>495</v>
      </c>
      <c r="C239" s="9" t="s">
        <v>495</v>
      </c>
      <c r="D239" s="9" t="s">
        <v>495</v>
      </c>
      <c r="E239" s="9"/>
      <c r="F239" s="9" t="s">
        <v>495</v>
      </c>
      <c r="G239" s="83">
        <v>6225</v>
      </c>
      <c r="H239" s="83">
        <f t="shared" si="46"/>
        <v>6225</v>
      </c>
      <c r="I239" s="133">
        <f t="shared" si="47"/>
        <v>1</v>
      </c>
      <c r="J239" s="82">
        <v>518.75</v>
      </c>
      <c r="K239" s="82">
        <v>518.75</v>
      </c>
      <c r="L239" s="82">
        <v>0</v>
      </c>
      <c r="M239" s="82">
        <v>1037.5</v>
      </c>
      <c r="N239" s="82">
        <v>518.75</v>
      </c>
      <c r="O239" s="82">
        <v>518.75</v>
      </c>
      <c r="P239" s="82">
        <v>518.75</v>
      </c>
      <c r="Q239" s="82">
        <v>518.75</v>
      </c>
      <c r="R239" s="82">
        <v>518.75</v>
      </c>
      <c r="S239" s="23">
        <v>518.75</v>
      </c>
      <c r="T239" s="23">
        <v>518.75</v>
      </c>
      <c r="U239" s="23">
        <v>518.75</v>
      </c>
      <c r="V239" s="7" t="s">
        <v>664</v>
      </c>
      <c r="W239" s="82">
        <f t="shared" si="48"/>
        <v>0</v>
      </c>
      <c r="Y239" s="4"/>
      <c r="Z239" s="4"/>
      <c r="AA239" s="82"/>
      <c r="AB239" s="82"/>
      <c r="AC239" s="82"/>
      <c r="AD239" s="23"/>
      <c r="AE239" s="7" t="s">
        <v>431</v>
      </c>
      <c r="AH239" s="23">
        <f>SUM('2021 Detail'!J231:U231)+SUM('2021 Detail'!AA231:AC231)</f>
        <v>6225</v>
      </c>
      <c r="AJ239" s="23">
        <f t="shared" si="49"/>
        <v>0</v>
      </c>
      <c r="AL239" t="str">
        <f t="shared" si="50"/>
        <v>Same</v>
      </c>
      <c r="AQ239" s="23">
        <v>518.75</v>
      </c>
    </row>
    <row r="240" spans="1:45" x14ac:dyDescent="0.2">
      <c r="A240" s="226" t="s">
        <v>185</v>
      </c>
      <c r="B240" s="9" t="s">
        <v>495</v>
      </c>
      <c r="C240" s="9" t="s">
        <v>495</v>
      </c>
      <c r="D240" s="9">
        <v>0</v>
      </c>
      <c r="E240" s="9"/>
      <c r="F240" s="9" t="s">
        <v>495</v>
      </c>
      <c r="G240" s="83">
        <v>8705</v>
      </c>
      <c r="H240" s="83">
        <f t="shared" si="46"/>
        <v>8705</v>
      </c>
      <c r="I240" s="133">
        <f t="shared" si="47"/>
        <v>1</v>
      </c>
      <c r="J240" s="82">
        <v>725.49</v>
      </c>
      <c r="K240" s="82">
        <v>725.41</v>
      </c>
      <c r="L240" s="82">
        <v>725.41</v>
      </c>
      <c r="M240" s="82">
        <v>725.41</v>
      </c>
      <c r="N240" s="82">
        <v>725.41</v>
      </c>
      <c r="O240" s="82">
        <v>725.41</v>
      </c>
      <c r="P240" s="82">
        <v>725.41</v>
      </c>
      <c r="Q240" s="82">
        <v>725.41</v>
      </c>
      <c r="R240" s="82">
        <v>725.41</v>
      </c>
      <c r="S240" s="23">
        <v>725.41</v>
      </c>
      <c r="T240" s="23">
        <v>725.41</v>
      </c>
      <c r="U240" s="23">
        <v>725.41</v>
      </c>
      <c r="V240" s="7" t="s">
        <v>665</v>
      </c>
      <c r="W240" s="82">
        <f t="shared" si="48"/>
        <v>0</v>
      </c>
      <c r="Y240" s="4"/>
      <c r="Z240" s="4"/>
      <c r="AA240" s="82"/>
      <c r="AB240" s="82"/>
      <c r="AC240" s="82"/>
      <c r="AD240" s="23"/>
      <c r="AE240" s="7" t="s">
        <v>431</v>
      </c>
      <c r="AH240" s="23">
        <f>SUM('2021 Detail'!J232:U232)+SUM('2021 Detail'!AA232:AC232)</f>
        <v>8705</v>
      </c>
      <c r="AJ240" s="23">
        <f t="shared" si="49"/>
        <v>0</v>
      </c>
      <c r="AL240" t="str">
        <f t="shared" si="50"/>
        <v>Same</v>
      </c>
      <c r="AQ240" s="23">
        <v>725.41</v>
      </c>
    </row>
    <row r="241" spans="1:44" x14ac:dyDescent="0.2">
      <c r="A241" s="226" t="s">
        <v>186</v>
      </c>
      <c r="B241" s="9" t="s">
        <v>495</v>
      </c>
      <c r="C241" s="9" t="s">
        <v>495</v>
      </c>
      <c r="D241" s="9" t="s">
        <v>495</v>
      </c>
      <c r="E241" s="9"/>
      <c r="F241" s="9">
        <v>0</v>
      </c>
      <c r="G241" s="83">
        <v>23282</v>
      </c>
      <c r="H241" s="83">
        <f t="shared" si="46"/>
        <v>3250</v>
      </c>
      <c r="I241" s="133">
        <f t="shared" si="47"/>
        <v>0.1396</v>
      </c>
      <c r="J241" s="82"/>
      <c r="K241" s="82"/>
      <c r="L241" s="82"/>
      <c r="M241" s="82">
        <v>2250</v>
      </c>
      <c r="N241" s="82"/>
      <c r="O241" s="82"/>
      <c r="P241" s="82"/>
      <c r="Q241" s="82"/>
      <c r="R241" s="82">
        <v>1000</v>
      </c>
      <c r="S241" s="23"/>
      <c r="T241" s="23"/>
      <c r="U241" s="23"/>
      <c r="V241" s="7" t="s">
        <v>666</v>
      </c>
      <c r="W241" s="82">
        <f t="shared" si="48"/>
        <v>20032</v>
      </c>
      <c r="Y241" s="4"/>
      <c r="Z241" s="4"/>
      <c r="AA241" s="82"/>
      <c r="AB241" s="82"/>
      <c r="AC241" s="82"/>
      <c r="AD241" s="23"/>
      <c r="AE241" s="7" t="s">
        <v>433</v>
      </c>
      <c r="AH241" s="23">
        <f>SUM('2021 Detail'!J233:U233)+SUM('2021 Detail'!AA233:AC233)</f>
        <v>9000</v>
      </c>
      <c r="AJ241" s="23">
        <f t="shared" si="49"/>
        <v>-5750</v>
      </c>
      <c r="AL241" t="str">
        <f t="shared" si="50"/>
        <v>Down</v>
      </c>
    </row>
    <row r="242" spans="1:44" x14ac:dyDescent="0.2">
      <c r="A242" s="226" t="s">
        <v>187</v>
      </c>
      <c r="B242" s="9" t="s">
        <v>495</v>
      </c>
      <c r="C242" s="9" t="s">
        <v>495</v>
      </c>
      <c r="D242" s="9" t="s">
        <v>495</v>
      </c>
      <c r="E242" s="9"/>
      <c r="F242" s="9">
        <v>0</v>
      </c>
      <c r="G242" s="83">
        <v>46435</v>
      </c>
      <c r="H242" s="83">
        <f t="shared" si="46"/>
        <v>43435</v>
      </c>
      <c r="I242" s="133">
        <f t="shared" si="47"/>
        <v>0.93540000000000001</v>
      </c>
      <c r="J242" s="82"/>
      <c r="K242" s="82">
        <v>6000</v>
      </c>
      <c r="L242" s="82">
        <v>3000</v>
      </c>
      <c r="M242" s="82">
        <v>3000</v>
      </c>
      <c r="N242" s="82">
        <v>3000</v>
      </c>
      <c r="O242" s="82">
        <v>3000</v>
      </c>
      <c r="P242" s="82">
        <v>3000</v>
      </c>
      <c r="Q242" s="82">
        <v>3000</v>
      </c>
      <c r="R242" s="82">
        <v>5000</v>
      </c>
      <c r="S242" s="23">
        <v>5000</v>
      </c>
      <c r="T242" s="23">
        <v>5000</v>
      </c>
      <c r="U242" s="23">
        <v>4435</v>
      </c>
      <c r="V242" s="7" t="s">
        <v>667</v>
      </c>
      <c r="W242" s="82">
        <f t="shared" si="48"/>
        <v>3000</v>
      </c>
      <c r="Y242" s="4"/>
      <c r="Z242" s="4"/>
      <c r="AA242" s="82"/>
      <c r="AB242" s="82"/>
      <c r="AC242" s="82"/>
      <c r="AD242" s="23"/>
      <c r="AE242" s="7" t="s">
        <v>433</v>
      </c>
      <c r="AH242" s="23">
        <f>SUM('2021 Detail'!J234:U234)+SUM('2021 Detail'!AA234:AC234)</f>
        <v>38000</v>
      </c>
      <c r="AJ242" s="23">
        <f t="shared" si="49"/>
        <v>5435</v>
      </c>
      <c r="AL242" t="str">
        <f t="shared" si="50"/>
        <v>Up</v>
      </c>
      <c r="AQ242" s="23">
        <v>6500</v>
      </c>
    </row>
    <row r="243" spans="1:44" x14ac:dyDescent="0.2">
      <c r="A243" s="226" t="s">
        <v>188</v>
      </c>
      <c r="B243" s="9" t="s">
        <v>495</v>
      </c>
      <c r="C243" s="9" t="s">
        <v>495</v>
      </c>
      <c r="D243" s="9" t="s">
        <v>495</v>
      </c>
      <c r="E243" s="9"/>
      <c r="F243" s="9" t="s">
        <v>495</v>
      </c>
      <c r="G243" s="83">
        <v>13246</v>
      </c>
      <c r="H243" s="83">
        <f t="shared" si="46"/>
        <v>6000</v>
      </c>
      <c r="I243" s="133">
        <f t="shared" si="47"/>
        <v>0.45300000000000001</v>
      </c>
      <c r="J243" s="82">
        <v>500</v>
      </c>
      <c r="K243" s="82">
        <v>500</v>
      </c>
      <c r="L243" s="82">
        <v>500</v>
      </c>
      <c r="M243" s="82">
        <v>500</v>
      </c>
      <c r="N243" s="82">
        <v>500</v>
      </c>
      <c r="O243" s="82">
        <v>500</v>
      </c>
      <c r="P243" s="82">
        <v>500</v>
      </c>
      <c r="Q243" s="82">
        <v>500</v>
      </c>
      <c r="R243" s="82">
        <v>500</v>
      </c>
      <c r="S243" s="23">
        <v>500</v>
      </c>
      <c r="T243" s="23">
        <v>500</v>
      </c>
      <c r="U243" s="23">
        <v>500</v>
      </c>
      <c r="V243" s="7" t="s">
        <v>668</v>
      </c>
      <c r="W243" s="82">
        <f t="shared" si="48"/>
        <v>7246</v>
      </c>
      <c r="Y243" s="4"/>
      <c r="Z243" s="4"/>
      <c r="AA243" s="82"/>
      <c r="AB243" s="82"/>
      <c r="AC243" s="82"/>
      <c r="AD243" s="23"/>
      <c r="AE243" s="7" t="s">
        <v>434</v>
      </c>
      <c r="AH243" s="23">
        <f>SUM('2021 Detail'!J235:U235)+SUM('2021 Detail'!AA235:AC235)</f>
        <v>6000</v>
      </c>
      <c r="AJ243" s="23">
        <f t="shared" si="49"/>
        <v>0</v>
      </c>
      <c r="AL243" t="str">
        <f t="shared" si="50"/>
        <v>Same</v>
      </c>
      <c r="AQ243" s="23">
        <v>500</v>
      </c>
    </row>
    <row r="244" spans="1:44" x14ac:dyDescent="0.2">
      <c r="A244" s="226" t="s">
        <v>189</v>
      </c>
      <c r="B244" s="9" t="s">
        <v>495</v>
      </c>
      <c r="C244" s="9" t="s">
        <v>495</v>
      </c>
      <c r="D244" s="9" t="s">
        <v>495</v>
      </c>
      <c r="E244" s="9"/>
      <c r="F244" s="9">
        <v>0</v>
      </c>
      <c r="G244" s="83">
        <v>30909</v>
      </c>
      <c r="H244" s="83">
        <f t="shared" si="46"/>
        <v>10000</v>
      </c>
      <c r="I244" s="133">
        <f t="shared" si="47"/>
        <v>0.32350000000000001</v>
      </c>
      <c r="J244" s="82">
        <v>1000</v>
      </c>
      <c r="K244" s="82"/>
      <c r="L244" s="82">
        <v>1000</v>
      </c>
      <c r="M244" s="82"/>
      <c r="N244" s="82">
        <v>1000</v>
      </c>
      <c r="O244" s="82">
        <v>1000</v>
      </c>
      <c r="P244" s="82">
        <v>1000</v>
      </c>
      <c r="Q244" s="82">
        <v>2000</v>
      </c>
      <c r="R244" s="82"/>
      <c r="S244" s="23">
        <v>2000</v>
      </c>
      <c r="T244" s="23">
        <v>1000</v>
      </c>
      <c r="U244" s="23"/>
      <c r="V244" s="7" t="s">
        <v>669</v>
      </c>
      <c r="W244" s="82">
        <f t="shared" si="48"/>
        <v>20909</v>
      </c>
      <c r="Y244" s="4"/>
      <c r="Z244" s="4"/>
      <c r="AA244" s="82"/>
      <c r="AB244" s="82"/>
      <c r="AC244" s="82"/>
      <c r="AD244" s="23"/>
      <c r="AE244" s="7" t="s">
        <v>434</v>
      </c>
      <c r="AH244" s="23">
        <f>SUM('2021 Detail'!J236:U236)+SUM('2021 Detail'!AA236:AC236)</f>
        <v>15000</v>
      </c>
      <c r="AJ244" s="23">
        <f t="shared" si="49"/>
        <v>-5000</v>
      </c>
      <c r="AL244" t="str">
        <f t="shared" si="50"/>
        <v>Down</v>
      </c>
      <c r="AQ244" s="23">
        <v>3000</v>
      </c>
    </row>
    <row r="245" spans="1:44" x14ac:dyDescent="0.2">
      <c r="A245" s="226" t="s">
        <v>190</v>
      </c>
      <c r="B245" s="9" t="s">
        <v>495</v>
      </c>
      <c r="C245" s="9" t="s">
        <v>495</v>
      </c>
      <c r="D245" s="9">
        <v>0</v>
      </c>
      <c r="E245" s="9"/>
      <c r="F245" s="9" t="s">
        <v>495</v>
      </c>
      <c r="G245" s="83">
        <v>43757</v>
      </c>
      <c r="H245" s="83">
        <f t="shared" si="46"/>
        <v>30000</v>
      </c>
      <c r="I245" s="133">
        <f t="shared" si="47"/>
        <v>0.68559999999999999</v>
      </c>
      <c r="J245" s="82">
        <v>2500</v>
      </c>
      <c r="K245" s="82">
        <v>2000</v>
      </c>
      <c r="L245" s="82">
        <v>2500</v>
      </c>
      <c r="M245" s="82">
        <v>2500</v>
      </c>
      <c r="N245" s="82"/>
      <c r="O245" s="82">
        <v>3000</v>
      </c>
      <c r="P245" s="82"/>
      <c r="Q245" s="82">
        <v>4000</v>
      </c>
      <c r="R245" s="82"/>
      <c r="S245" s="23">
        <v>6000</v>
      </c>
      <c r="T245" s="23">
        <v>3000</v>
      </c>
      <c r="U245" s="23">
        <v>4500</v>
      </c>
      <c r="V245" s="7" t="s">
        <v>670</v>
      </c>
      <c r="W245" s="82">
        <f t="shared" si="48"/>
        <v>13757</v>
      </c>
      <c r="Y245" s="4"/>
      <c r="Z245" s="4"/>
      <c r="AA245" s="82"/>
      <c r="AB245" s="82"/>
      <c r="AC245" s="82"/>
      <c r="AD245" s="23"/>
      <c r="AE245" s="7" t="s">
        <v>435</v>
      </c>
      <c r="AH245" s="23">
        <f>SUM('2021 Detail'!J237:U237)+SUM('2021 Detail'!AA237:AC237)</f>
        <v>26000</v>
      </c>
      <c r="AJ245" s="23">
        <f t="shared" si="49"/>
        <v>4000</v>
      </c>
      <c r="AL245" t="str">
        <f t="shared" si="50"/>
        <v>Up</v>
      </c>
      <c r="AQ245" s="23">
        <v>7000</v>
      </c>
    </row>
    <row r="246" spans="1:44" x14ac:dyDescent="0.2">
      <c r="A246" s="226" t="s">
        <v>191</v>
      </c>
      <c r="B246" s="9" t="s">
        <v>495</v>
      </c>
      <c r="C246" s="9" t="s">
        <v>495</v>
      </c>
      <c r="D246" s="9">
        <v>0</v>
      </c>
      <c r="E246" s="9"/>
      <c r="F246" s="9">
        <v>0</v>
      </c>
      <c r="G246" s="83">
        <v>62275</v>
      </c>
      <c r="H246" s="83">
        <f t="shared" si="46"/>
        <v>47000</v>
      </c>
      <c r="I246" s="133">
        <f t="shared" si="47"/>
        <v>0.75470000000000004</v>
      </c>
      <c r="J246" s="82"/>
      <c r="K246" s="82">
        <v>3000</v>
      </c>
      <c r="L246" s="82"/>
      <c r="M246" s="82"/>
      <c r="N246" s="82"/>
      <c r="O246" s="82">
        <v>12000</v>
      </c>
      <c r="P246" s="82"/>
      <c r="Q246" s="82">
        <v>10000</v>
      </c>
      <c r="R246" s="82">
        <v>7000</v>
      </c>
      <c r="S246" s="23"/>
      <c r="T246" s="23">
        <v>10000</v>
      </c>
      <c r="U246" s="23">
        <v>5000</v>
      </c>
      <c r="V246" s="7" t="s">
        <v>671</v>
      </c>
      <c r="W246" s="82">
        <f t="shared" si="48"/>
        <v>15275</v>
      </c>
      <c r="Y246" s="4"/>
      <c r="Z246" s="4"/>
      <c r="AA246" s="82"/>
      <c r="AB246" s="82"/>
      <c r="AC246" s="82"/>
      <c r="AD246" s="23"/>
      <c r="AE246" s="7" t="s">
        <v>436</v>
      </c>
      <c r="AH246" s="23">
        <f>SUM('2021 Detail'!J238:U238)+SUM('2021 Detail'!AA238:AC238)</f>
        <v>46000</v>
      </c>
      <c r="AJ246" s="23">
        <f t="shared" si="49"/>
        <v>1000</v>
      </c>
      <c r="AL246" t="str">
        <f t="shared" si="50"/>
        <v>Up</v>
      </c>
      <c r="AQ246" s="23">
        <v>8000</v>
      </c>
    </row>
    <row r="247" spans="1:44" x14ac:dyDescent="0.2">
      <c r="A247" s="226" t="s">
        <v>192</v>
      </c>
      <c r="B247" s="9" t="s">
        <v>495</v>
      </c>
      <c r="C247" s="9" t="s">
        <v>495</v>
      </c>
      <c r="D247" s="9" t="s">
        <v>495</v>
      </c>
      <c r="E247" s="9"/>
      <c r="F247" s="9">
        <v>0</v>
      </c>
      <c r="G247" s="83">
        <v>52917</v>
      </c>
      <c r="H247" s="83">
        <f t="shared" si="46"/>
        <v>52917</v>
      </c>
      <c r="I247" s="133">
        <f t="shared" si="47"/>
        <v>1</v>
      </c>
      <c r="J247" s="82">
        <v>5296</v>
      </c>
      <c r="K247" s="82">
        <v>6000</v>
      </c>
      <c r="L247" s="82">
        <v>4000</v>
      </c>
      <c r="M247" s="82">
        <v>2000</v>
      </c>
      <c r="N247" s="82">
        <v>2000</v>
      </c>
      <c r="O247" s="82">
        <v>2000</v>
      </c>
      <c r="P247" s="82">
        <v>2000</v>
      </c>
      <c r="Q247" s="82">
        <v>4000</v>
      </c>
      <c r="R247" s="82">
        <v>4000</v>
      </c>
      <c r="S247" s="23">
        <v>9000</v>
      </c>
      <c r="T247" s="23">
        <v>5000</v>
      </c>
      <c r="U247" s="23">
        <v>7621</v>
      </c>
      <c r="V247" s="7" t="s">
        <v>672</v>
      </c>
      <c r="W247" s="82">
        <f t="shared" si="48"/>
        <v>0</v>
      </c>
      <c r="Y247" s="4"/>
      <c r="Z247" s="4"/>
      <c r="AA247" s="82"/>
      <c r="AB247" s="82"/>
      <c r="AC247" s="82"/>
      <c r="AD247" s="23"/>
      <c r="AE247" s="7" t="s">
        <v>437</v>
      </c>
      <c r="AH247" s="23">
        <f>SUM('2021 Detail'!J239:U239)+SUM('2021 Detail'!AA239:AC239)</f>
        <v>52917</v>
      </c>
      <c r="AJ247" s="23">
        <f t="shared" si="49"/>
        <v>0</v>
      </c>
      <c r="AL247" t="str">
        <f t="shared" si="50"/>
        <v>Same</v>
      </c>
      <c r="AQ247" s="23">
        <v>5296</v>
      </c>
    </row>
    <row r="248" spans="1:44" x14ac:dyDescent="0.2">
      <c r="A248" s="226" t="s">
        <v>193</v>
      </c>
      <c r="B248" s="9" t="s">
        <v>495</v>
      </c>
      <c r="C248" s="9" t="s">
        <v>495</v>
      </c>
      <c r="D248" s="9">
        <v>0</v>
      </c>
      <c r="E248" s="9"/>
      <c r="F248" s="9">
        <v>0</v>
      </c>
      <c r="G248" s="83">
        <v>10374</v>
      </c>
      <c r="H248" s="83">
        <f t="shared" si="46"/>
        <v>10374</v>
      </c>
      <c r="I248" s="133">
        <f t="shared" si="47"/>
        <v>1</v>
      </c>
      <c r="J248" s="82"/>
      <c r="K248" s="82"/>
      <c r="L248" s="82">
        <v>3000</v>
      </c>
      <c r="M248" s="82"/>
      <c r="N248" s="82"/>
      <c r="O248" s="82">
        <v>2000</v>
      </c>
      <c r="P248" s="82"/>
      <c r="Q248" s="82"/>
      <c r="R248" s="82">
        <v>3000</v>
      </c>
      <c r="S248" s="23"/>
      <c r="T248" s="23">
        <v>2374</v>
      </c>
      <c r="U248" s="23"/>
      <c r="V248" s="7" t="s">
        <v>673</v>
      </c>
      <c r="W248" s="82">
        <f t="shared" si="48"/>
        <v>0</v>
      </c>
      <c r="Y248" s="4"/>
      <c r="Z248" s="4"/>
      <c r="AA248" s="82"/>
      <c r="AB248" s="82"/>
      <c r="AC248" s="82"/>
      <c r="AD248" s="23"/>
      <c r="AE248" s="7" t="s">
        <v>431</v>
      </c>
      <c r="AH248" s="23">
        <f>SUM('2021 Detail'!J240:U240)+SUM('2021 Detail'!AA240:AC240)</f>
        <v>10374</v>
      </c>
      <c r="AJ248" s="23">
        <f t="shared" si="49"/>
        <v>0</v>
      </c>
      <c r="AL248" t="str">
        <f t="shared" si="50"/>
        <v>Same</v>
      </c>
    </row>
    <row r="249" spans="1:44" x14ac:dyDescent="0.2">
      <c r="A249" s="226" t="s">
        <v>194</v>
      </c>
      <c r="B249" s="9" t="s">
        <v>495</v>
      </c>
      <c r="C249" s="9" t="s">
        <v>495</v>
      </c>
      <c r="D249" s="9" t="s">
        <v>495</v>
      </c>
      <c r="E249" s="9"/>
      <c r="F249" s="9">
        <v>0</v>
      </c>
      <c r="G249" s="83">
        <v>69781</v>
      </c>
      <c r="H249" s="83">
        <f t="shared" si="46"/>
        <v>61500</v>
      </c>
      <c r="I249" s="133">
        <f t="shared" si="47"/>
        <v>0.88129999999999997</v>
      </c>
      <c r="J249" s="82"/>
      <c r="K249" s="82">
        <v>5000</v>
      </c>
      <c r="L249" s="82">
        <v>5000</v>
      </c>
      <c r="M249" s="82"/>
      <c r="N249" s="82">
        <v>5000</v>
      </c>
      <c r="O249" s="82">
        <v>9000</v>
      </c>
      <c r="P249" s="82">
        <v>8000</v>
      </c>
      <c r="Q249" s="82">
        <v>4500</v>
      </c>
      <c r="R249" s="82">
        <v>8000</v>
      </c>
      <c r="S249" s="23"/>
      <c r="T249" s="23">
        <v>5000</v>
      </c>
      <c r="U249" s="23">
        <v>12000</v>
      </c>
      <c r="V249" s="7" t="s">
        <v>674</v>
      </c>
      <c r="W249" s="82">
        <f t="shared" si="48"/>
        <v>8281</v>
      </c>
      <c r="Y249" s="4"/>
      <c r="Z249" s="4"/>
      <c r="AA249" s="82"/>
      <c r="AB249" s="82"/>
      <c r="AC249" s="82"/>
      <c r="AD249" s="23"/>
      <c r="AE249" s="7" t="s">
        <v>432</v>
      </c>
      <c r="AH249" s="23">
        <f>SUM('2021 Detail'!J241:U241)+SUM('2021 Detail'!AA241:AC241)</f>
        <v>65315</v>
      </c>
      <c r="AJ249" s="23">
        <f t="shared" si="49"/>
        <v>-3815</v>
      </c>
      <c r="AL249" t="str">
        <f t="shared" si="50"/>
        <v>Down</v>
      </c>
      <c r="AQ249" s="23">
        <v>10500</v>
      </c>
    </row>
    <row r="250" spans="1:44" x14ac:dyDescent="0.2">
      <c r="A250" s="226" t="s">
        <v>195</v>
      </c>
      <c r="B250" s="9">
        <v>0</v>
      </c>
      <c r="C250" s="9" t="s">
        <v>495</v>
      </c>
      <c r="D250" s="9" t="s">
        <v>495</v>
      </c>
      <c r="E250" s="9"/>
      <c r="F250" s="9">
        <v>0</v>
      </c>
      <c r="G250" s="83">
        <v>20294</v>
      </c>
      <c r="H250" s="83">
        <f t="shared" si="46"/>
        <v>5000</v>
      </c>
      <c r="I250" s="133">
        <f t="shared" si="47"/>
        <v>0.24640000000000001</v>
      </c>
      <c r="J250" s="82"/>
      <c r="K250" s="82"/>
      <c r="L250" s="82"/>
      <c r="M250" s="82"/>
      <c r="N250" s="82"/>
      <c r="O250" s="82"/>
      <c r="P250" s="82"/>
      <c r="Q250" s="82"/>
      <c r="R250" s="82"/>
      <c r="S250" s="23"/>
      <c r="T250" s="23"/>
      <c r="U250" s="23">
        <v>5000</v>
      </c>
      <c r="V250" s="7" t="s">
        <v>675</v>
      </c>
      <c r="W250" s="82">
        <f t="shared" si="48"/>
        <v>15294</v>
      </c>
      <c r="Y250" s="4"/>
      <c r="Z250" s="4"/>
      <c r="AA250" s="82"/>
      <c r="AB250" s="82"/>
      <c r="AC250" s="82"/>
      <c r="AD250" s="23"/>
      <c r="AE250" s="7" t="s">
        <v>430</v>
      </c>
      <c r="AH250" s="23">
        <f>SUM('2021 Detail'!J242:U242)+SUM('2021 Detail'!AA242:AC242)</f>
        <v>12500</v>
      </c>
      <c r="AJ250" s="23">
        <f t="shared" si="49"/>
        <v>-7500</v>
      </c>
      <c r="AL250" t="str">
        <f t="shared" si="50"/>
        <v>Down</v>
      </c>
      <c r="AQ250" s="23">
        <v>5000</v>
      </c>
    </row>
    <row r="251" spans="1:44" x14ac:dyDescent="0.2">
      <c r="A251" s="226" t="s">
        <v>196</v>
      </c>
      <c r="B251" s="9">
        <v>0</v>
      </c>
      <c r="C251" s="9">
        <v>0</v>
      </c>
      <c r="D251" s="9">
        <v>0</v>
      </c>
      <c r="E251" s="9"/>
      <c r="F251" s="9">
        <v>0</v>
      </c>
      <c r="G251" s="83">
        <v>12778</v>
      </c>
      <c r="H251" s="83">
        <f t="shared" si="46"/>
        <v>5000</v>
      </c>
      <c r="I251" s="133">
        <f t="shared" si="47"/>
        <v>0.39129999999999998</v>
      </c>
      <c r="J251" s="82"/>
      <c r="K251" s="82"/>
      <c r="L251" s="82"/>
      <c r="M251" s="82"/>
      <c r="N251" s="82"/>
      <c r="O251" s="82"/>
      <c r="P251" s="82"/>
      <c r="Q251" s="82"/>
      <c r="R251" s="82"/>
      <c r="S251" s="23"/>
      <c r="T251" s="23"/>
      <c r="U251" s="23">
        <v>5000</v>
      </c>
      <c r="V251" s="7" t="s">
        <v>676</v>
      </c>
      <c r="W251" s="82">
        <f t="shared" si="48"/>
        <v>7778</v>
      </c>
      <c r="Y251" s="4"/>
      <c r="Z251" s="4"/>
      <c r="AA251" s="82"/>
      <c r="AB251" s="82"/>
      <c r="AC251" s="82"/>
      <c r="AD251" s="23"/>
      <c r="AE251" s="7" t="s">
        <v>430</v>
      </c>
      <c r="AH251" s="23">
        <f>SUM('2021 Detail'!J243:U243)+SUM('2021 Detail'!AA243:AC243)</f>
        <v>0</v>
      </c>
      <c r="AJ251" s="23">
        <f t="shared" si="49"/>
        <v>5000</v>
      </c>
      <c r="AL251" t="str">
        <f t="shared" si="50"/>
        <v>Up</v>
      </c>
    </row>
    <row r="252" spans="1:44" x14ac:dyDescent="0.2">
      <c r="A252" s="226" t="s">
        <v>197</v>
      </c>
      <c r="B252" s="9" t="s">
        <v>495</v>
      </c>
      <c r="C252" s="9" t="s">
        <v>495</v>
      </c>
      <c r="D252" s="9" t="s">
        <v>495</v>
      </c>
      <c r="E252" s="9"/>
      <c r="F252" s="9">
        <v>0</v>
      </c>
      <c r="G252" s="83">
        <v>18205</v>
      </c>
      <c r="H252" s="83">
        <f t="shared" si="46"/>
        <v>16687.82</v>
      </c>
      <c r="I252" s="133">
        <f t="shared" si="47"/>
        <v>0.91669999999999996</v>
      </c>
      <c r="J252" s="82">
        <v>1500</v>
      </c>
      <c r="K252" s="82">
        <v>1500</v>
      </c>
      <c r="L252" s="82">
        <v>1551.25</v>
      </c>
      <c r="M252" s="82">
        <v>1517</v>
      </c>
      <c r="N252" s="82">
        <v>1517</v>
      </c>
      <c r="O252" s="82">
        <v>1517.25</v>
      </c>
      <c r="P252" s="82">
        <v>1517.08</v>
      </c>
      <c r="Q252" s="82">
        <v>1517.08</v>
      </c>
      <c r="R252" s="82">
        <v>1517.08</v>
      </c>
      <c r="S252" s="23">
        <v>1517.08</v>
      </c>
      <c r="T252" s="23"/>
      <c r="U252" s="23"/>
      <c r="V252" s="7" t="s">
        <v>677</v>
      </c>
      <c r="W252" s="82">
        <f t="shared" si="48"/>
        <v>1517.1800000000003</v>
      </c>
      <c r="Y252" s="4"/>
      <c r="Z252" s="4"/>
      <c r="AA252" s="82">
        <v>1517</v>
      </c>
      <c r="AB252" s="82"/>
      <c r="AC252" s="82"/>
      <c r="AD252" s="23"/>
      <c r="AE252" s="7" t="s">
        <v>438</v>
      </c>
      <c r="AH252" s="23">
        <f>SUM('2021 Detail'!J244:U244)+SUM('2021 Detail'!AA244:AC244)</f>
        <v>14600</v>
      </c>
      <c r="AJ252" s="23">
        <f t="shared" si="49"/>
        <v>2087.8199999999997</v>
      </c>
      <c r="AL252" t="str">
        <f t="shared" si="50"/>
        <v>Up</v>
      </c>
      <c r="AQ252" s="23">
        <v>1000</v>
      </c>
    </row>
    <row r="253" spans="1:44" x14ac:dyDescent="0.2">
      <c r="A253" s="226" t="s">
        <v>198</v>
      </c>
      <c r="B253" s="9" t="s">
        <v>495</v>
      </c>
      <c r="C253" s="9" t="s">
        <v>495</v>
      </c>
      <c r="D253" s="9">
        <v>0</v>
      </c>
      <c r="E253" s="9"/>
      <c r="F253" s="9">
        <v>0</v>
      </c>
      <c r="G253" s="83">
        <v>16449</v>
      </c>
      <c r="H253" s="83">
        <f t="shared" si="46"/>
        <v>500</v>
      </c>
      <c r="I253" s="133">
        <f t="shared" si="47"/>
        <v>3.04E-2</v>
      </c>
      <c r="J253" s="82"/>
      <c r="K253" s="82"/>
      <c r="L253" s="82"/>
      <c r="M253" s="82"/>
      <c r="N253" s="82"/>
      <c r="O253" s="82"/>
      <c r="P253" s="82"/>
      <c r="Q253" s="82"/>
      <c r="R253" s="82"/>
      <c r="S253" s="23"/>
      <c r="T253" s="23"/>
      <c r="U253" s="23">
        <v>500</v>
      </c>
      <c r="V253" s="7" t="s">
        <v>678</v>
      </c>
      <c r="W253" s="82">
        <f t="shared" si="48"/>
        <v>15949</v>
      </c>
      <c r="Y253" s="4"/>
      <c r="Z253" s="4"/>
      <c r="AA253" s="82"/>
      <c r="AB253" s="82"/>
      <c r="AC253" s="82"/>
      <c r="AD253" s="23"/>
      <c r="AE253" s="7" t="s">
        <v>438</v>
      </c>
      <c r="AH253" s="23">
        <f>SUM('2021 Detail'!J245:U245)+SUM('2021 Detail'!AA245:AC245)</f>
        <v>13000</v>
      </c>
      <c r="AJ253" s="23">
        <f t="shared" si="49"/>
        <v>-12500</v>
      </c>
      <c r="AL253" t="str">
        <f t="shared" si="50"/>
        <v>Down</v>
      </c>
      <c r="AQ253" s="23">
        <v>4000</v>
      </c>
    </row>
    <row r="254" spans="1:44" x14ac:dyDescent="0.2">
      <c r="A254" s="226" t="s">
        <v>199</v>
      </c>
      <c r="B254" s="9" t="s">
        <v>495</v>
      </c>
      <c r="C254" s="9" t="s">
        <v>495</v>
      </c>
      <c r="D254" s="9" t="s">
        <v>495</v>
      </c>
      <c r="E254" s="9"/>
      <c r="F254" s="9">
        <v>0</v>
      </c>
      <c r="G254" s="83">
        <v>17857</v>
      </c>
      <c r="H254" s="83">
        <f t="shared" si="46"/>
        <v>17857</v>
      </c>
      <c r="I254" s="133">
        <f t="shared" si="47"/>
        <v>1</v>
      </c>
      <c r="J254" s="82">
        <v>450</v>
      </c>
      <c r="K254" s="82">
        <v>450</v>
      </c>
      <c r="L254" s="82">
        <v>450</v>
      </c>
      <c r="M254" s="82">
        <v>450</v>
      </c>
      <c r="N254" s="82">
        <v>450</v>
      </c>
      <c r="O254" s="82">
        <v>450</v>
      </c>
      <c r="P254" s="82">
        <v>5450</v>
      </c>
      <c r="Q254" s="82">
        <v>450</v>
      </c>
      <c r="R254" s="82">
        <v>5450</v>
      </c>
      <c r="S254" s="23">
        <v>450</v>
      </c>
      <c r="T254" s="23">
        <v>2907</v>
      </c>
      <c r="U254" s="23">
        <v>450</v>
      </c>
      <c r="V254" s="7" t="s">
        <v>679</v>
      </c>
      <c r="W254" s="82">
        <f t="shared" si="48"/>
        <v>0</v>
      </c>
      <c r="Y254" s="4"/>
      <c r="Z254" s="4"/>
      <c r="AA254" s="82"/>
      <c r="AB254" s="82"/>
      <c r="AC254" s="82"/>
      <c r="AD254" s="23"/>
      <c r="AE254" s="7" t="s">
        <v>438</v>
      </c>
      <c r="AH254" s="23">
        <f>SUM('2021 Detail'!J246:U246)+SUM('2021 Detail'!AA246:AC246)</f>
        <v>17857</v>
      </c>
      <c r="AJ254" s="23">
        <f t="shared" si="49"/>
        <v>0</v>
      </c>
      <c r="AL254" t="str">
        <f t="shared" si="50"/>
        <v>Same</v>
      </c>
      <c r="AQ254" s="23">
        <v>5907</v>
      </c>
    </row>
    <row r="255" spans="1:44" x14ac:dyDescent="0.2">
      <c r="A255" s="226" t="s">
        <v>200</v>
      </c>
      <c r="B255" s="9" t="s">
        <v>495</v>
      </c>
      <c r="C255" s="9" t="s">
        <v>495</v>
      </c>
      <c r="D255" s="9">
        <v>0</v>
      </c>
      <c r="E255" s="9"/>
      <c r="F255" s="9">
        <v>0</v>
      </c>
      <c r="G255" s="83">
        <v>17704</v>
      </c>
      <c r="H255" s="83">
        <f t="shared" si="46"/>
        <v>17704</v>
      </c>
      <c r="I255" s="133">
        <f t="shared" si="47"/>
        <v>1</v>
      </c>
      <c r="J255" s="82"/>
      <c r="K255" s="82"/>
      <c r="L255" s="82"/>
      <c r="M255" s="82"/>
      <c r="N255" s="82">
        <v>2000</v>
      </c>
      <c r="O255" s="82"/>
      <c r="P255" s="82">
        <v>3000</v>
      </c>
      <c r="Q255" s="82"/>
      <c r="R255" s="82">
        <v>5000</v>
      </c>
      <c r="S255" s="23"/>
      <c r="T255" s="23"/>
      <c r="U255" s="23">
        <v>7704</v>
      </c>
      <c r="V255" s="7" t="s">
        <v>680</v>
      </c>
      <c r="W255" s="82">
        <f t="shared" si="48"/>
        <v>0</v>
      </c>
      <c r="Y255" s="4"/>
      <c r="Z255" s="4"/>
      <c r="AA255" s="82"/>
      <c r="AB255" s="82"/>
      <c r="AC255" s="82"/>
      <c r="AD255" s="23"/>
      <c r="AE255" s="7" t="s">
        <v>438</v>
      </c>
      <c r="AH255" s="23">
        <f>SUM('2021 Detail'!J247:U247)+SUM('2021 Detail'!AA247:AC247)</f>
        <v>15312</v>
      </c>
      <c r="AJ255" s="23">
        <f t="shared" si="49"/>
        <v>2392</v>
      </c>
      <c r="AL255" t="str">
        <f t="shared" si="50"/>
        <v>Up</v>
      </c>
      <c r="AQ255" s="23">
        <v>3000</v>
      </c>
    </row>
    <row r="256" spans="1:44" x14ac:dyDescent="0.2">
      <c r="A256" s="226" t="s">
        <v>201</v>
      </c>
      <c r="B256" s="9">
        <v>0</v>
      </c>
      <c r="C256" s="9" t="s">
        <v>495</v>
      </c>
      <c r="D256" s="9" t="s">
        <v>495</v>
      </c>
      <c r="E256" s="9"/>
      <c r="F256" s="9" t="s">
        <v>495</v>
      </c>
      <c r="G256" s="83">
        <v>16831</v>
      </c>
      <c r="H256" s="83">
        <f t="shared" si="46"/>
        <v>13465</v>
      </c>
      <c r="I256" s="133">
        <f t="shared" si="47"/>
        <v>0.8</v>
      </c>
      <c r="J256" s="82">
        <v>600</v>
      </c>
      <c r="K256" s="82">
        <v>600</v>
      </c>
      <c r="L256" s="82">
        <v>600</v>
      </c>
      <c r="M256" s="82">
        <v>600</v>
      </c>
      <c r="N256" s="82">
        <v>600</v>
      </c>
      <c r="O256" s="82">
        <v>600</v>
      </c>
      <c r="P256" s="82">
        <v>600</v>
      </c>
      <c r="Q256" s="82">
        <v>600</v>
      </c>
      <c r="R256" s="82">
        <v>600</v>
      </c>
      <c r="S256" s="23">
        <v>600</v>
      </c>
      <c r="T256" s="23">
        <v>600</v>
      </c>
      <c r="U256" s="23">
        <v>6865</v>
      </c>
      <c r="V256" s="7" t="s">
        <v>681</v>
      </c>
      <c r="W256" s="82">
        <f t="shared" si="48"/>
        <v>3366</v>
      </c>
      <c r="Y256" s="4"/>
      <c r="Z256" s="4"/>
      <c r="AA256" s="82"/>
      <c r="AB256" s="82"/>
      <c r="AC256" s="82"/>
      <c r="AD256" s="23"/>
      <c r="AE256" s="7" t="s">
        <v>439</v>
      </c>
      <c r="AH256" s="23">
        <f>SUM('2021 Detail'!J248:U248)+SUM('2021 Detail'!AA248:AC248)</f>
        <v>7200</v>
      </c>
      <c r="AJ256" s="23">
        <f t="shared" si="49"/>
        <v>6265</v>
      </c>
      <c r="AL256" t="str">
        <f t="shared" si="50"/>
        <v>Up</v>
      </c>
      <c r="AQ256" s="23">
        <v>600</v>
      </c>
      <c r="AR256">
        <v>16455</v>
      </c>
    </row>
    <row r="257" spans="1:46" x14ac:dyDescent="0.2">
      <c r="A257" s="226" t="s">
        <v>202</v>
      </c>
      <c r="B257" s="9" t="s">
        <v>495</v>
      </c>
      <c r="C257" s="9" t="s">
        <v>495</v>
      </c>
      <c r="D257" s="9">
        <v>0</v>
      </c>
      <c r="E257" s="9"/>
      <c r="F257" s="9">
        <v>0</v>
      </c>
      <c r="G257" s="83">
        <v>16831</v>
      </c>
      <c r="H257" s="83">
        <f t="shared" si="46"/>
        <v>13000</v>
      </c>
      <c r="I257" s="133">
        <f t="shared" si="47"/>
        <v>0.77239999999999998</v>
      </c>
      <c r="J257" s="82"/>
      <c r="K257" s="82"/>
      <c r="L257" s="82"/>
      <c r="M257" s="82"/>
      <c r="N257" s="82"/>
      <c r="O257" s="82"/>
      <c r="P257" s="82"/>
      <c r="Q257" s="82">
        <v>8000</v>
      </c>
      <c r="R257" s="82"/>
      <c r="S257" s="23"/>
      <c r="T257" s="23"/>
      <c r="U257" s="23"/>
      <c r="V257" s="7" t="s">
        <v>682</v>
      </c>
      <c r="W257" s="82">
        <f t="shared" si="48"/>
        <v>3831</v>
      </c>
      <c r="Y257" s="4"/>
      <c r="Z257" s="4"/>
      <c r="AA257" s="82"/>
      <c r="AB257" s="82">
        <v>5000</v>
      </c>
      <c r="AC257" s="82"/>
      <c r="AD257" s="23"/>
      <c r="AE257" s="7" t="s">
        <v>439</v>
      </c>
      <c r="AH257" s="23">
        <f>SUM('2021 Detail'!J249:U249)+SUM('2021 Detail'!AA249:AC249)</f>
        <v>6312</v>
      </c>
      <c r="AJ257" s="23">
        <f t="shared" si="49"/>
        <v>6688</v>
      </c>
      <c r="AL257" t="str">
        <f t="shared" si="50"/>
        <v>Up</v>
      </c>
    </row>
    <row r="258" spans="1:46" x14ac:dyDescent="0.2">
      <c r="A258" s="226" t="s">
        <v>203</v>
      </c>
      <c r="B258" s="9" t="s">
        <v>495</v>
      </c>
      <c r="C258" s="9" t="s">
        <v>495</v>
      </c>
      <c r="D258" s="9" t="s">
        <v>495</v>
      </c>
      <c r="E258" s="9"/>
      <c r="F258" s="9">
        <v>0</v>
      </c>
      <c r="G258" s="83">
        <v>16831</v>
      </c>
      <c r="H258" s="83">
        <f t="shared" si="46"/>
        <v>12625</v>
      </c>
      <c r="I258" s="133">
        <f t="shared" si="47"/>
        <v>0.75009999999999999</v>
      </c>
      <c r="J258" s="82"/>
      <c r="K258" s="82"/>
      <c r="L258" s="82"/>
      <c r="M258" s="82"/>
      <c r="N258" s="82"/>
      <c r="O258" s="82"/>
      <c r="P258" s="82">
        <v>8415</v>
      </c>
      <c r="Q258" s="82"/>
      <c r="R258" s="82"/>
      <c r="S258" s="23"/>
      <c r="T258" s="23"/>
      <c r="U258" s="23"/>
      <c r="V258" s="7" t="s">
        <v>683</v>
      </c>
      <c r="W258" s="82">
        <f t="shared" si="48"/>
        <v>4206</v>
      </c>
      <c r="Y258" s="4"/>
      <c r="Z258" s="4"/>
      <c r="AA258" s="82"/>
      <c r="AB258" s="82">
        <v>4210</v>
      </c>
      <c r="AC258" s="82"/>
      <c r="AD258" s="23"/>
      <c r="AE258" s="7" t="s">
        <v>439</v>
      </c>
      <c r="AH258" s="23">
        <f>SUM('2021 Detail'!J250:U250)+SUM('2021 Detail'!AA250:AC250)</f>
        <v>13875</v>
      </c>
      <c r="AJ258" s="23">
        <f t="shared" si="49"/>
        <v>-1250</v>
      </c>
      <c r="AL258" t="str">
        <f t="shared" si="50"/>
        <v>Down</v>
      </c>
    </row>
    <row r="259" spans="1:46" x14ac:dyDescent="0.2">
      <c r="A259" s="226" t="s">
        <v>204</v>
      </c>
      <c r="B259" s="9" t="s">
        <v>495</v>
      </c>
      <c r="C259" s="9">
        <v>0</v>
      </c>
      <c r="D259" s="9" t="s">
        <v>495</v>
      </c>
      <c r="E259" s="9"/>
      <c r="F259" s="9" t="s">
        <v>495</v>
      </c>
      <c r="G259" s="83">
        <v>10099</v>
      </c>
      <c r="H259" s="83">
        <f t="shared" si="46"/>
        <v>7000</v>
      </c>
      <c r="I259" s="133">
        <f t="shared" si="47"/>
        <v>0.69310000000000005</v>
      </c>
      <c r="J259" s="82">
        <v>500</v>
      </c>
      <c r="K259" s="82">
        <v>500</v>
      </c>
      <c r="L259" s="82">
        <v>600</v>
      </c>
      <c r="M259" s="82">
        <v>600</v>
      </c>
      <c r="N259" s="82">
        <v>600</v>
      </c>
      <c r="O259" s="82">
        <v>600</v>
      </c>
      <c r="P259" s="82">
        <v>600</v>
      </c>
      <c r="Q259" s="82">
        <v>600</v>
      </c>
      <c r="R259" s="82">
        <v>600</v>
      </c>
      <c r="S259" s="23">
        <v>600</v>
      </c>
      <c r="T259" s="23">
        <v>600</v>
      </c>
      <c r="U259" s="23">
        <v>600</v>
      </c>
      <c r="V259" s="7" t="s">
        <v>684</v>
      </c>
      <c r="W259" s="82">
        <f t="shared" si="48"/>
        <v>3099</v>
      </c>
      <c r="Y259" s="4"/>
      <c r="Z259" s="4"/>
      <c r="AA259" s="82"/>
      <c r="AB259" s="82"/>
      <c r="AC259" s="82"/>
      <c r="AD259" s="23"/>
      <c r="AE259" s="7" t="s">
        <v>439</v>
      </c>
      <c r="AH259" s="23">
        <f>SUM('2021 Detail'!J251:U251)+SUM('2021 Detail'!AA251:AC251)</f>
        <v>6000</v>
      </c>
      <c r="AJ259" s="23">
        <f t="shared" si="49"/>
        <v>1000</v>
      </c>
      <c r="AL259" t="str">
        <f t="shared" si="50"/>
        <v>Up</v>
      </c>
      <c r="AQ259" s="23">
        <v>500</v>
      </c>
    </row>
    <row r="260" spans="1:46" x14ac:dyDescent="0.2">
      <c r="A260" s="226" t="s">
        <v>205</v>
      </c>
      <c r="B260" s="9" t="s">
        <v>495</v>
      </c>
      <c r="C260" s="9">
        <v>0</v>
      </c>
      <c r="D260" s="9">
        <v>0</v>
      </c>
      <c r="E260" s="9"/>
      <c r="F260" s="9" t="s">
        <v>495</v>
      </c>
      <c r="G260" s="83">
        <v>6733</v>
      </c>
      <c r="H260" s="83">
        <f t="shared" si="46"/>
        <v>5049</v>
      </c>
      <c r="I260" s="133">
        <f t="shared" si="47"/>
        <v>0.74990000000000001</v>
      </c>
      <c r="J260" s="82">
        <v>200</v>
      </c>
      <c r="K260" s="82">
        <v>200</v>
      </c>
      <c r="L260" s="82">
        <v>200</v>
      </c>
      <c r="M260" s="82">
        <v>200</v>
      </c>
      <c r="N260" s="82">
        <v>200</v>
      </c>
      <c r="O260" s="82">
        <v>200</v>
      </c>
      <c r="P260" s="82">
        <v>200</v>
      </c>
      <c r="Q260" s="82">
        <v>200</v>
      </c>
      <c r="R260" s="82">
        <v>200</v>
      </c>
      <c r="S260" s="23">
        <v>200</v>
      </c>
      <c r="T260" s="23">
        <v>200</v>
      </c>
      <c r="U260" s="23">
        <v>2849</v>
      </c>
      <c r="V260" s="7" t="s">
        <v>685</v>
      </c>
      <c r="W260" s="82">
        <f t="shared" si="48"/>
        <v>1684</v>
      </c>
      <c r="Y260" s="4"/>
      <c r="Z260" s="4"/>
      <c r="AA260" s="82"/>
      <c r="AB260" s="82"/>
      <c r="AC260" s="82"/>
      <c r="AD260" s="23"/>
      <c r="AE260" s="7" t="s">
        <v>439</v>
      </c>
      <c r="AH260" s="23">
        <f>SUM('2021 Detail'!J252:U252)+SUM('2021 Detail'!AA252:AC252)</f>
        <v>5049</v>
      </c>
      <c r="AJ260" s="23">
        <f t="shared" si="49"/>
        <v>0</v>
      </c>
      <c r="AL260" t="str">
        <f t="shared" si="50"/>
        <v>Same</v>
      </c>
      <c r="AQ260" s="23">
        <v>2849</v>
      </c>
    </row>
    <row r="261" spans="1:46" x14ac:dyDescent="0.2">
      <c r="A261" s="226" t="s">
        <v>206</v>
      </c>
      <c r="B261" s="9" t="s">
        <v>495</v>
      </c>
      <c r="C261" s="9" t="s">
        <v>495</v>
      </c>
      <c r="D261" s="9">
        <v>0</v>
      </c>
      <c r="E261" s="9"/>
      <c r="F261" s="9">
        <v>0</v>
      </c>
      <c r="G261" s="83">
        <v>27039</v>
      </c>
      <c r="H261" s="83">
        <f t="shared" si="46"/>
        <v>23679</v>
      </c>
      <c r="I261" s="133">
        <f t="shared" si="47"/>
        <v>0.87570000000000003</v>
      </c>
      <c r="J261" s="82">
        <v>1128</v>
      </c>
      <c r="K261" s="82">
        <v>2255</v>
      </c>
      <c r="L261" s="82">
        <v>2255</v>
      </c>
      <c r="M261" s="82">
        <v>2255</v>
      </c>
      <c r="N261" s="82">
        <v>2255</v>
      </c>
      <c r="O261" s="82">
        <v>2255</v>
      </c>
      <c r="P261" s="82">
        <v>2255</v>
      </c>
      <c r="Q261" s="82">
        <v>2255</v>
      </c>
      <c r="R261" s="82">
        <v>2255</v>
      </c>
      <c r="S261" s="23">
        <v>1128</v>
      </c>
      <c r="T261" s="23"/>
      <c r="U261" s="82">
        <v>3383</v>
      </c>
      <c r="V261" s="7" t="s">
        <v>686</v>
      </c>
      <c r="W261" s="82">
        <f t="shared" si="48"/>
        <v>3360</v>
      </c>
      <c r="Y261" s="4"/>
      <c r="Z261" s="4"/>
      <c r="AA261" s="82"/>
      <c r="AB261" s="82"/>
      <c r="AC261" s="82"/>
      <c r="AD261" s="23"/>
      <c r="AE261" s="7" t="s">
        <v>440</v>
      </c>
      <c r="AH261" s="23">
        <f>SUM('2021 Detail'!J253:U253)+SUM('2021 Detail'!AA253:AC253)</f>
        <v>28539</v>
      </c>
      <c r="AJ261" s="23">
        <f t="shared" si="49"/>
        <v>-4860</v>
      </c>
      <c r="AL261" t="str">
        <f t="shared" si="50"/>
        <v>Down</v>
      </c>
      <c r="AQ261" s="23">
        <v>2811</v>
      </c>
    </row>
    <row r="262" spans="1:46" x14ac:dyDescent="0.2">
      <c r="B262" s="9"/>
      <c r="C262" s="9"/>
      <c r="I262" s="133"/>
      <c r="Y262" s="4"/>
      <c r="Z262" s="4"/>
      <c r="AA262" s="82"/>
      <c r="AB262" s="82"/>
      <c r="AC262" s="82"/>
      <c r="AD262" s="23"/>
      <c r="AJ262" s="23"/>
    </row>
    <row r="263" spans="1:46" x14ac:dyDescent="0.2">
      <c r="A263" s="226" t="s">
        <v>1142</v>
      </c>
      <c r="B263" s="9"/>
      <c r="C263" s="9"/>
      <c r="G263" s="83">
        <f>SUM(G230:G262)</f>
        <v>773493</v>
      </c>
      <c r="H263" s="83">
        <f>SUM(H230:H262)</f>
        <v>592169.82000000007</v>
      </c>
      <c r="I263" s="133">
        <f t="shared" ref="I263:I264" si="51">ROUND((H263/G263),4)</f>
        <v>0.76559999999999995</v>
      </c>
      <c r="J263" s="83">
        <f>SUM(J230:J262)</f>
        <v>22818.739999999998</v>
      </c>
      <c r="K263" s="83">
        <f t="shared" ref="K263:W263" si="52">SUM(K230:K262)</f>
        <v>37149.660000000003</v>
      </c>
      <c r="L263" s="83">
        <f t="shared" si="52"/>
        <v>41178.160000000003</v>
      </c>
      <c r="M263" s="83">
        <f t="shared" si="52"/>
        <v>35818.410000000003</v>
      </c>
      <c r="N263" s="83">
        <f t="shared" si="52"/>
        <v>33066.660000000003</v>
      </c>
      <c r="O263" s="83">
        <f t="shared" si="52"/>
        <v>53716.91</v>
      </c>
      <c r="P263" s="83">
        <f t="shared" si="52"/>
        <v>50831.74</v>
      </c>
      <c r="Q263" s="83">
        <f t="shared" si="52"/>
        <v>59816.740000000005</v>
      </c>
      <c r="R263" s="83">
        <f t="shared" si="52"/>
        <v>60716.740000000005</v>
      </c>
      <c r="S263" s="4">
        <f t="shared" si="52"/>
        <v>42339.740000000005</v>
      </c>
      <c r="T263" s="4">
        <f t="shared" si="52"/>
        <v>48975.66</v>
      </c>
      <c r="U263" s="4">
        <f t="shared" si="52"/>
        <v>95013.66</v>
      </c>
      <c r="V263" s="77"/>
      <c r="W263" s="82">
        <f t="shared" si="52"/>
        <v>181323.18</v>
      </c>
      <c r="Y263" s="4"/>
      <c r="Z263" s="4"/>
      <c r="AA263" s="83">
        <f>SUM(AA230:AA262)</f>
        <v>1517</v>
      </c>
      <c r="AB263" s="83">
        <f t="shared" ref="AB263:AC263" si="53">SUM(AB230:AB262)</f>
        <v>9210</v>
      </c>
      <c r="AC263" s="83">
        <f t="shared" si="53"/>
        <v>0</v>
      </c>
      <c r="AD263" s="4"/>
      <c r="AH263" s="23">
        <f>SUM(AH230:AH262)</f>
        <v>577484.24</v>
      </c>
      <c r="AJ263" s="23">
        <f t="shared" si="49"/>
        <v>14685.580000000075</v>
      </c>
      <c r="AM263" s="11">
        <f>SUM(J263:R263)+SUM(S264:U264)+SUM('2020 detail'!AA254:AC254)</f>
        <v>604981.46</v>
      </c>
      <c r="AN263" s="24">
        <f>ROUND((AM263/G263),4)</f>
        <v>0.78210000000000002</v>
      </c>
      <c r="AO263" s="24">
        <f>ROUND((SUM(J264:U264)/G264),4)</f>
        <v>0.73460000000000003</v>
      </c>
      <c r="AQ263" s="23">
        <f>SUM(AQ230:AQ262)</f>
        <v>92144.38</v>
      </c>
      <c r="AS263">
        <f>-SUM(AS231:AS262)</f>
        <v>-8396</v>
      </c>
      <c r="AT263" s="23">
        <f>W263+AS263</f>
        <v>172927.18</v>
      </c>
    </row>
    <row r="264" spans="1:46" x14ac:dyDescent="0.2">
      <c r="A264" s="253" t="s">
        <v>1056</v>
      </c>
      <c r="B264" s="9"/>
      <c r="C264" s="9"/>
      <c r="G264" s="206">
        <f>'2021 Detail'!G255</f>
        <v>773488</v>
      </c>
      <c r="H264" s="206">
        <f>SUM(J264:U264)+SUM(AA264:AC264)</f>
        <v>577484.24000000011</v>
      </c>
      <c r="I264" s="207">
        <f t="shared" si="51"/>
        <v>0.74660000000000004</v>
      </c>
      <c r="J264" s="206">
        <f>'2021 Detail'!J255</f>
        <v>22321.9</v>
      </c>
      <c r="K264" s="206">
        <f>'2021 Detail'!K255</f>
        <v>27398.9</v>
      </c>
      <c r="L264" s="206">
        <f>'2021 Detail'!L255</f>
        <v>33748.82</v>
      </c>
      <c r="M264" s="206">
        <f>'2021 Detail'!M255</f>
        <v>47673.82</v>
      </c>
      <c r="N264" s="206">
        <f>'2021 Detail'!N255</f>
        <v>40655.82</v>
      </c>
      <c r="O264" s="206">
        <f>'2021 Detail'!O255</f>
        <v>43273.82</v>
      </c>
      <c r="P264" s="206">
        <f>'2021 Detail'!P255</f>
        <v>55615.82</v>
      </c>
      <c r="Q264" s="206">
        <f>'2021 Detail'!Q255</f>
        <v>43143.82</v>
      </c>
      <c r="R264" s="206">
        <f>'2021 Detail'!R255</f>
        <v>44538.82</v>
      </c>
      <c r="S264" s="206">
        <f>'2021 Detail'!S255</f>
        <v>37249.160000000003</v>
      </c>
      <c r="T264" s="206">
        <f>'2021 Detail'!T255</f>
        <v>80474.16</v>
      </c>
      <c r="U264" s="206">
        <f>'2021 Detail'!U255</f>
        <v>92144.38</v>
      </c>
      <c r="V264" s="206"/>
      <c r="W264" s="206"/>
      <c r="X264" s="206"/>
      <c r="Y264" s="4"/>
      <c r="Z264" s="4"/>
      <c r="AA264" s="206">
        <f>'2021 Detail'!AA255</f>
        <v>6500</v>
      </c>
      <c r="AB264" s="206">
        <f>'2021 Detail'!AB255</f>
        <v>2745</v>
      </c>
      <c r="AC264" s="206">
        <f>'2021 Detail'!AC255</f>
        <v>0</v>
      </c>
      <c r="AJ264" s="23"/>
    </row>
    <row r="265" spans="1:46" x14ac:dyDescent="0.2">
      <c r="B265" s="9"/>
      <c r="C265" s="9"/>
      <c r="Y265" s="4"/>
      <c r="Z265" s="4"/>
      <c r="AJ265" s="23"/>
    </row>
    <row r="266" spans="1:46" x14ac:dyDescent="0.2">
      <c r="A266" s="226" t="str">
        <f t="shared" ref="A266:U266" si="54">A$510</f>
        <v>Diocesan Total 2022</v>
      </c>
      <c r="B266" s="226">
        <f t="shared" si="54"/>
        <v>0</v>
      </c>
      <c r="C266" s="226">
        <f t="shared" si="54"/>
        <v>0</v>
      </c>
      <c r="D266" s="258">
        <f t="shared" si="54"/>
        <v>0</v>
      </c>
      <c r="E266" s="226">
        <f t="shared" si="54"/>
        <v>0</v>
      </c>
      <c r="F266" s="226">
        <f t="shared" si="54"/>
        <v>0</v>
      </c>
      <c r="G266" s="83">
        <f t="shared" si="54"/>
        <v>8116012</v>
      </c>
      <c r="H266" s="83">
        <f t="shared" si="54"/>
        <v>6559276.3399999999</v>
      </c>
      <c r="I266" s="133">
        <f t="shared" si="54"/>
        <v>0.80820000000000003</v>
      </c>
      <c r="J266" s="83">
        <f t="shared" si="54"/>
        <v>378351.23</v>
      </c>
      <c r="K266" s="83">
        <f t="shared" si="54"/>
        <v>449442.02</v>
      </c>
      <c r="L266" s="83">
        <f t="shared" si="54"/>
        <v>517036.34</v>
      </c>
      <c r="M266" s="83">
        <f t="shared" si="54"/>
        <v>434875.54000000004</v>
      </c>
      <c r="N266" s="83">
        <f t="shared" si="54"/>
        <v>497786.23</v>
      </c>
      <c r="O266" s="83">
        <f t="shared" si="54"/>
        <v>599586.94000000006</v>
      </c>
      <c r="P266" s="83">
        <f t="shared" si="54"/>
        <v>498701.35</v>
      </c>
      <c r="Q266" s="83">
        <f t="shared" si="54"/>
        <v>538018.41999999993</v>
      </c>
      <c r="R266" s="83">
        <f t="shared" si="54"/>
        <v>551902.79</v>
      </c>
      <c r="S266" s="4">
        <f t="shared" si="54"/>
        <v>564217.18000000005</v>
      </c>
      <c r="T266" s="4">
        <f t="shared" si="54"/>
        <v>645999.05000000005</v>
      </c>
      <c r="U266" s="4">
        <f t="shared" si="54"/>
        <v>736614.44</v>
      </c>
      <c r="V266" s="77"/>
      <c r="W266" s="82"/>
      <c r="X266" s="4"/>
      <c r="Y266" s="4"/>
      <c r="Z266" s="4"/>
      <c r="AA266" s="83"/>
      <c r="AB266" s="83"/>
      <c r="AC266" s="83"/>
      <c r="AD266" s="4"/>
      <c r="AH266" s="23">
        <f>AH$510</f>
        <v>6587993.7699999996</v>
      </c>
      <c r="AJ266" s="23">
        <f>AJ$510</f>
        <v>-28717.429999999702</v>
      </c>
    </row>
    <row r="267" spans="1:46" x14ac:dyDescent="0.2">
      <c r="A267" s="253" t="str">
        <f t="shared" ref="A267:U267" si="55">A$511</f>
        <v>Diocesan Total 2021</v>
      </c>
      <c r="B267" s="253">
        <f t="shared" si="55"/>
        <v>0</v>
      </c>
      <c r="C267" s="253">
        <f t="shared" si="55"/>
        <v>0</v>
      </c>
      <c r="D267" s="259">
        <f t="shared" si="55"/>
        <v>0</v>
      </c>
      <c r="E267" s="253">
        <f t="shared" si="55"/>
        <v>0</v>
      </c>
      <c r="F267" s="253">
        <f t="shared" si="55"/>
        <v>0</v>
      </c>
      <c r="G267" s="206">
        <f t="shared" si="55"/>
        <v>8132853</v>
      </c>
      <c r="H267" s="206">
        <f t="shared" si="55"/>
        <v>6587993.7700000005</v>
      </c>
      <c r="I267" s="207">
        <f t="shared" si="55"/>
        <v>0.81</v>
      </c>
      <c r="J267" s="206">
        <f t="shared" si="55"/>
        <v>340336.86</v>
      </c>
      <c r="K267" s="206">
        <f t="shared" si="55"/>
        <v>407387.73</v>
      </c>
      <c r="L267" s="206">
        <f t="shared" si="55"/>
        <v>497955.59</v>
      </c>
      <c r="M267" s="206">
        <f t="shared" si="55"/>
        <v>513800.89999999997</v>
      </c>
      <c r="N267" s="206">
        <f t="shared" si="55"/>
        <v>483760.16000000003</v>
      </c>
      <c r="O267" s="206">
        <f t="shared" si="55"/>
        <v>527451.71000000008</v>
      </c>
      <c r="P267" s="206">
        <f t="shared" si="55"/>
        <v>582882.6100000001</v>
      </c>
      <c r="Q267" s="206">
        <f t="shared" si="55"/>
        <v>489302.35</v>
      </c>
      <c r="R267" s="206">
        <f t="shared" si="55"/>
        <v>548459.72</v>
      </c>
      <c r="S267" s="206">
        <f t="shared" si="55"/>
        <v>527708.16999999993</v>
      </c>
      <c r="T267" s="206">
        <f t="shared" si="55"/>
        <v>616975.80999999994</v>
      </c>
      <c r="U267" s="206">
        <f t="shared" si="55"/>
        <v>907302.59</v>
      </c>
      <c r="V267" s="206"/>
      <c r="W267" s="206"/>
      <c r="X267" s="206"/>
      <c r="Y267" s="4"/>
      <c r="Z267" s="4"/>
      <c r="AA267" s="206"/>
      <c r="AB267" s="206"/>
      <c r="AC267" s="206"/>
      <c r="AJ267" s="23"/>
    </row>
    <row r="268" spans="1:46" ht="15.75" x14ac:dyDescent="0.25">
      <c r="G268" s="196" t="s">
        <v>12</v>
      </c>
      <c r="Y268" s="4"/>
      <c r="Z268" s="4"/>
      <c r="AH268" s="171" t="s">
        <v>1136</v>
      </c>
      <c r="AI268" s="172"/>
      <c r="AJ268" s="171" t="s">
        <v>1064</v>
      </c>
    </row>
    <row r="269" spans="1:46" x14ac:dyDescent="0.2">
      <c r="Y269" s="4"/>
      <c r="Z269" s="4"/>
      <c r="AH269" s="171" t="s">
        <v>1137</v>
      </c>
      <c r="AI269" s="172"/>
      <c r="AJ269" s="171" t="s">
        <v>1138</v>
      </c>
    </row>
    <row r="270" spans="1:46" ht="16.5" x14ac:dyDescent="0.25">
      <c r="A270" s="250"/>
      <c r="B270" s="8"/>
      <c r="C270" s="8"/>
      <c r="E270" s="8"/>
      <c r="F270" s="8"/>
      <c r="G270" s="208" t="str">
        <f>$G$3</f>
        <v>2022 PARISH SHARE INFORMATION AS AT 31 DECEMBER 2022</v>
      </c>
      <c r="H270" s="209"/>
      <c r="W270" s="194"/>
      <c r="X270"/>
      <c r="Y270" s="4"/>
      <c r="Z270" s="4"/>
      <c r="AA270"/>
      <c r="AB270"/>
      <c r="AC270"/>
      <c r="AH270" s="172"/>
      <c r="AI270" s="172"/>
      <c r="AJ270" s="171" t="s">
        <v>1139</v>
      </c>
    </row>
    <row r="271" spans="1:46" x14ac:dyDescent="0.2">
      <c r="A271" s="250"/>
      <c r="G271" s="205"/>
      <c r="H271" s="197"/>
      <c r="W271" s="194"/>
      <c r="X271"/>
      <c r="Y271" s="4"/>
      <c r="Z271" s="4"/>
      <c r="AA271"/>
      <c r="AB271"/>
      <c r="AC271"/>
    </row>
    <row r="272" spans="1:46" ht="16.5" x14ac:dyDescent="0.25">
      <c r="A272" s="251" t="s">
        <v>1</v>
      </c>
      <c r="B272" s="151" t="str">
        <f>$B$5</f>
        <v>RM</v>
      </c>
      <c r="C272" s="151" t="str">
        <f>$C$5</f>
        <v>RF</v>
      </c>
      <c r="D272" s="151" t="str">
        <f>$D$5</f>
        <v>Accts</v>
      </c>
      <c r="E272" s="151"/>
      <c r="F272" s="151" t="str">
        <f>$F$5</f>
        <v>Share DD</v>
      </c>
      <c r="G272" s="210" t="str">
        <f>$G$5</f>
        <v xml:space="preserve">2022 Share </v>
      </c>
      <c r="H272" s="211" t="str">
        <f>$H$5</f>
        <v xml:space="preserve">2022 Paid </v>
      </c>
      <c r="I272" s="211" t="str">
        <f>$I$5</f>
        <v xml:space="preserve">% Paid </v>
      </c>
      <c r="J272" s="212">
        <f>$J$5</f>
        <v>44592</v>
      </c>
      <c r="K272" s="212">
        <f>$K$5</f>
        <v>44620</v>
      </c>
      <c r="L272" s="212">
        <f>$L$5</f>
        <v>44651</v>
      </c>
      <c r="M272" s="212">
        <f>$M$5</f>
        <v>44681</v>
      </c>
      <c r="N272" s="212">
        <f>$N$5</f>
        <v>44712</v>
      </c>
      <c r="O272" s="212">
        <f>$O$5</f>
        <v>44742</v>
      </c>
      <c r="P272" s="212">
        <f>$P$5</f>
        <v>44773</v>
      </c>
      <c r="Q272" s="212">
        <f>$Q$5</f>
        <v>44804</v>
      </c>
      <c r="R272" s="212">
        <f>$R$5</f>
        <v>44834</v>
      </c>
      <c r="S272" s="155">
        <f>$S$5</f>
        <v>44865</v>
      </c>
      <c r="T272" s="155">
        <f>$T$5</f>
        <v>44895</v>
      </c>
      <c r="U272" s="155">
        <f>$U$5</f>
        <v>44926</v>
      </c>
      <c r="V272" s="78"/>
      <c r="W272" s="195" t="str">
        <f>$W$5</f>
        <v xml:space="preserve">Outstanding </v>
      </c>
      <c r="X272" s="2"/>
      <c r="Y272" s="4"/>
      <c r="Z272" s="4"/>
      <c r="AA272" s="2">
        <f>$AA$5</f>
        <v>44957</v>
      </c>
      <c r="AB272" s="2">
        <f>$AB$5</f>
        <v>44985</v>
      </c>
      <c r="AC272" s="2">
        <f>$AC$5</f>
        <v>45016</v>
      </c>
      <c r="AE272" s="152" t="str">
        <f>$AE$5</f>
        <v>Benefice</v>
      </c>
      <c r="AH272" s="16" t="s">
        <v>1141</v>
      </c>
      <c r="AJ272" s="170" t="s">
        <v>1140</v>
      </c>
      <c r="AQ272" s="222">
        <f>AQ5</f>
        <v>44588</v>
      </c>
    </row>
    <row r="273" spans="1:43" ht="16.5" x14ac:dyDescent="0.25">
      <c r="A273" s="250"/>
      <c r="G273" s="201" t="s">
        <v>1040</v>
      </c>
      <c r="H273" s="202" t="s">
        <v>1040</v>
      </c>
      <c r="I273" s="203"/>
      <c r="J273" s="202" t="s">
        <v>1040</v>
      </c>
      <c r="K273" s="202" t="s">
        <v>1040</v>
      </c>
      <c r="L273" s="202" t="s">
        <v>1040</v>
      </c>
      <c r="M273" s="202" t="s">
        <v>1040</v>
      </c>
      <c r="N273" s="202" t="s">
        <v>1040</v>
      </c>
      <c r="O273" s="202" t="s">
        <v>1040</v>
      </c>
      <c r="P273" s="202" t="s">
        <v>1040</v>
      </c>
      <c r="Q273" s="202" t="s">
        <v>1040</v>
      </c>
      <c r="R273" s="202" t="s">
        <v>1040</v>
      </c>
      <c r="S273" s="147" t="s">
        <v>1040</v>
      </c>
      <c r="T273" s="147" t="s">
        <v>1040</v>
      </c>
      <c r="U273" s="147" t="s">
        <v>1040</v>
      </c>
      <c r="W273" s="194"/>
      <c r="X273"/>
      <c r="Y273" s="4"/>
      <c r="Z273" s="4"/>
      <c r="AA273"/>
      <c r="AB273"/>
      <c r="AC273"/>
      <c r="AJ273" s="23"/>
    </row>
    <row r="274" spans="1:43" x14ac:dyDescent="0.2">
      <c r="Y274" s="4"/>
      <c r="Z274" s="4"/>
      <c r="AJ274" s="23"/>
    </row>
    <row r="275" spans="1:43" x14ac:dyDescent="0.2">
      <c r="A275" s="226" t="s">
        <v>207</v>
      </c>
      <c r="B275" s="9" t="s">
        <v>495</v>
      </c>
      <c r="C275" s="9">
        <v>0</v>
      </c>
      <c r="D275" s="9">
        <v>0</v>
      </c>
      <c r="E275" s="9"/>
      <c r="F275" s="9">
        <v>0</v>
      </c>
      <c r="G275" s="83">
        <v>137836</v>
      </c>
      <c r="H275" s="83">
        <f t="shared" ref="H275:H298" si="56">SUM(J275:U275)+SUM(AA275:AC275)</f>
        <v>137836</v>
      </c>
      <c r="I275" s="133">
        <f t="shared" ref="I275:I298" si="57">ROUND((H275/G275),4)</f>
        <v>1</v>
      </c>
      <c r="J275" s="82"/>
      <c r="K275" s="82">
        <v>22976</v>
      </c>
      <c r="L275" s="82"/>
      <c r="M275" s="82">
        <v>22976</v>
      </c>
      <c r="N275" s="82">
        <v>11485.5</v>
      </c>
      <c r="O275" s="82">
        <v>11485.5</v>
      </c>
      <c r="P275" s="82">
        <v>11485.5</v>
      </c>
      <c r="Q275" s="82">
        <v>11485.5</v>
      </c>
      <c r="R275" s="82">
        <v>11485.5</v>
      </c>
      <c r="S275" s="23">
        <v>11485.5</v>
      </c>
      <c r="T275" s="23">
        <v>11485.5</v>
      </c>
      <c r="U275" s="23">
        <v>11485.5</v>
      </c>
      <c r="V275" s="79" t="s">
        <v>687</v>
      </c>
      <c r="W275" s="82">
        <f t="shared" ref="W275:W298" si="58">G275-H275</f>
        <v>0</v>
      </c>
      <c r="Y275" s="4"/>
      <c r="Z275" s="4"/>
      <c r="AA275" s="82"/>
      <c r="AB275" s="82"/>
      <c r="AC275" s="82"/>
      <c r="AE275" s="7" t="s">
        <v>441</v>
      </c>
      <c r="AH275" s="23">
        <f>SUM('2021 Detail'!J265:U265)+SUM('2021 Detail'!AA265:AC265)</f>
        <v>137352</v>
      </c>
      <c r="AJ275" s="23">
        <f t="shared" ref="AJ275:AJ342" si="59">H275-AH275</f>
        <v>484</v>
      </c>
      <c r="AL275" t="str">
        <f t="shared" ref="AL275:AL298" si="60">IF(AJ275&lt;0,"Down",IF(AJ275&gt;0,"Up","Same"))</f>
        <v>Up</v>
      </c>
      <c r="AQ275" s="23">
        <v>11446</v>
      </c>
    </row>
    <row r="276" spans="1:43" x14ac:dyDescent="0.2">
      <c r="A276" s="226" t="s">
        <v>208</v>
      </c>
      <c r="B276" s="9" t="s">
        <v>495</v>
      </c>
      <c r="C276" s="9" t="s">
        <v>495</v>
      </c>
      <c r="D276" s="9" t="s">
        <v>495</v>
      </c>
      <c r="E276" s="9"/>
      <c r="F276" s="9">
        <v>0</v>
      </c>
      <c r="G276" s="83">
        <v>14960</v>
      </c>
      <c r="H276" s="83">
        <f t="shared" si="56"/>
        <v>14960</v>
      </c>
      <c r="I276" s="133">
        <f t="shared" si="57"/>
        <v>1</v>
      </c>
      <c r="J276" s="82">
        <v>95</v>
      </c>
      <c r="K276" s="82">
        <v>1000</v>
      </c>
      <c r="L276" s="82">
        <v>2000</v>
      </c>
      <c r="M276" s="82"/>
      <c r="N276" s="82">
        <v>1000</v>
      </c>
      <c r="O276" s="82">
        <v>1000</v>
      </c>
      <c r="P276" s="82"/>
      <c r="Q276" s="82">
        <v>1000</v>
      </c>
      <c r="R276" s="82">
        <v>1000</v>
      </c>
      <c r="S276" s="23"/>
      <c r="T276" s="23"/>
      <c r="U276" s="23">
        <v>3000</v>
      </c>
      <c r="V276" s="79" t="s">
        <v>688</v>
      </c>
      <c r="W276" s="82">
        <f t="shared" si="58"/>
        <v>0</v>
      </c>
      <c r="Y276" s="4"/>
      <c r="Z276" s="4"/>
      <c r="AA276" s="82">
        <v>4865</v>
      </c>
      <c r="AB276" s="82"/>
      <c r="AC276" s="82"/>
      <c r="AD276" s="23"/>
      <c r="AE276" s="7" t="s">
        <v>441</v>
      </c>
      <c r="AH276" s="23">
        <f>SUM('2021 Detail'!J266:U266)+SUM('2021 Detail'!AA266:AC266)</f>
        <v>14960</v>
      </c>
      <c r="AJ276" s="23">
        <f t="shared" si="59"/>
        <v>0</v>
      </c>
      <c r="AL276" t="str">
        <f t="shared" si="60"/>
        <v>Same</v>
      </c>
      <c r="AQ276" s="23">
        <v>3000</v>
      </c>
    </row>
    <row r="277" spans="1:43" x14ac:dyDescent="0.2">
      <c r="A277" s="226" t="s">
        <v>209</v>
      </c>
      <c r="B277" s="9" t="s">
        <v>495</v>
      </c>
      <c r="C277" s="9" t="s">
        <v>495</v>
      </c>
      <c r="D277" s="9">
        <v>0</v>
      </c>
      <c r="E277" s="9"/>
      <c r="F277" s="9" t="s">
        <v>495</v>
      </c>
      <c r="G277" s="83">
        <v>6924</v>
      </c>
      <c r="H277" s="83">
        <f t="shared" si="56"/>
        <v>6924</v>
      </c>
      <c r="I277" s="133">
        <f t="shared" si="57"/>
        <v>1</v>
      </c>
      <c r="J277" s="82">
        <v>577</v>
      </c>
      <c r="K277" s="82">
        <v>577</v>
      </c>
      <c r="L277" s="82">
        <v>577</v>
      </c>
      <c r="M277" s="82">
        <v>577</v>
      </c>
      <c r="N277" s="82">
        <v>577</v>
      </c>
      <c r="O277" s="82">
        <v>577</v>
      </c>
      <c r="P277" s="82">
        <v>577</v>
      </c>
      <c r="Q277" s="82">
        <v>577</v>
      </c>
      <c r="R277" s="82">
        <v>577</v>
      </c>
      <c r="S277" s="23">
        <v>577</v>
      </c>
      <c r="T277" s="23">
        <v>577</v>
      </c>
      <c r="U277" s="23">
        <v>577</v>
      </c>
      <c r="V277" s="79" t="s">
        <v>689</v>
      </c>
      <c r="W277" s="82">
        <f t="shared" si="58"/>
        <v>0</v>
      </c>
      <c r="Y277" s="4"/>
      <c r="Z277" s="4"/>
      <c r="AA277" s="82"/>
      <c r="AB277" s="82"/>
      <c r="AC277" s="82"/>
      <c r="AD277" s="23"/>
      <c r="AE277" s="7" t="s">
        <v>445</v>
      </c>
      <c r="AH277" s="23">
        <f>SUM('2021 Detail'!J267:U267)+SUM('2021 Detail'!AA267:AC267)</f>
        <v>6924</v>
      </c>
      <c r="AJ277" s="23">
        <f t="shared" si="59"/>
        <v>0</v>
      </c>
      <c r="AL277" t="str">
        <f t="shared" si="60"/>
        <v>Same</v>
      </c>
      <c r="AQ277" s="23">
        <v>577</v>
      </c>
    </row>
    <row r="278" spans="1:43" x14ac:dyDescent="0.2">
      <c r="A278" s="226" t="s">
        <v>210</v>
      </c>
      <c r="B278" s="9" t="s">
        <v>495</v>
      </c>
      <c r="C278" s="9" t="s">
        <v>495</v>
      </c>
      <c r="D278" s="9" t="s">
        <v>495</v>
      </c>
      <c r="E278" s="9"/>
      <c r="F278" s="9" t="s">
        <v>495</v>
      </c>
      <c r="G278" s="83">
        <v>6924</v>
      </c>
      <c r="H278" s="83">
        <f t="shared" si="56"/>
        <v>6924</v>
      </c>
      <c r="I278" s="133">
        <f t="shared" si="57"/>
        <v>1</v>
      </c>
      <c r="J278" s="82">
        <v>500</v>
      </c>
      <c r="K278" s="82">
        <v>500</v>
      </c>
      <c r="L278" s="82">
        <v>500</v>
      </c>
      <c r="M278" s="82">
        <v>500</v>
      </c>
      <c r="N278" s="82">
        <v>500</v>
      </c>
      <c r="O278" s="82">
        <v>500</v>
      </c>
      <c r="P278" s="82">
        <v>500</v>
      </c>
      <c r="Q278" s="82">
        <v>500</v>
      </c>
      <c r="R278" s="82">
        <v>500</v>
      </c>
      <c r="S278" s="23">
        <v>500</v>
      </c>
      <c r="T278" s="23">
        <v>1424</v>
      </c>
      <c r="U278" s="23">
        <v>500</v>
      </c>
      <c r="V278" s="79" t="s">
        <v>690</v>
      </c>
      <c r="W278" s="82">
        <f t="shared" si="58"/>
        <v>0</v>
      </c>
      <c r="Y278" s="4"/>
      <c r="Z278" s="4"/>
      <c r="AA278" s="82"/>
      <c r="AB278" s="82"/>
      <c r="AC278" s="82"/>
      <c r="AD278" s="23"/>
      <c r="AE278" s="7" t="s">
        <v>445</v>
      </c>
      <c r="AH278" s="23">
        <f>SUM('2021 Detail'!J268:U268)+SUM('2021 Detail'!AA268:AC268)</f>
        <v>6924</v>
      </c>
      <c r="AJ278" s="23">
        <f t="shared" si="59"/>
        <v>0</v>
      </c>
      <c r="AL278" t="str">
        <f t="shared" si="60"/>
        <v>Same</v>
      </c>
      <c r="AQ278" s="23">
        <v>1423.8</v>
      </c>
    </row>
    <row r="279" spans="1:43" x14ac:dyDescent="0.2">
      <c r="A279" s="226" t="s">
        <v>211</v>
      </c>
      <c r="B279" s="9" t="s">
        <v>495</v>
      </c>
      <c r="C279" s="9" t="s">
        <v>495</v>
      </c>
      <c r="D279" s="9" t="s">
        <v>495</v>
      </c>
      <c r="E279" s="9"/>
      <c r="F279" s="9" t="s">
        <v>495</v>
      </c>
      <c r="G279" s="83">
        <v>4847</v>
      </c>
      <c r="H279" s="83">
        <f t="shared" si="56"/>
        <v>4847</v>
      </c>
      <c r="I279" s="133">
        <f t="shared" si="57"/>
        <v>1</v>
      </c>
      <c r="J279" s="82">
        <v>403.87</v>
      </c>
      <c r="K279" s="82">
        <v>403.93</v>
      </c>
      <c r="L279" s="82">
        <v>403.92</v>
      </c>
      <c r="M279" s="82">
        <v>403.92</v>
      </c>
      <c r="N279" s="82">
        <v>403.92</v>
      </c>
      <c r="O279" s="82">
        <v>403.92</v>
      </c>
      <c r="P279" s="82">
        <v>403.92</v>
      </c>
      <c r="Q279" s="82">
        <v>403.92</v>
      </c>
      <c r="R279" s="82">
        <v>403.92</v>
      </c>
      <c r="S279" s="23">
        <v>403.92</v>
      </c>
      <c r="T279" s="23">
        <v>403.92</v>
      </c>
      <c r="U279" s="23">
        <v>403.92</v>
      </c>
      <c r="V279" s="79" t="s">
        <v>691</v>
      </c>
      <c r="W279" s="82">
        <f t="shared" si="58"/>
        <v>0</v>
      </c>
      <c r="Y279" s="4"/>
      <c r="Z279" s="4"/>
      <c r="AA279" s="82"/>
      <c r="AB279" s="82"/>
      <c r="AC279" s="82"/>
      <c r="AD279" s="23"/>
      <c r="AE279" s="7" t="s">
        <v>445</v>
      </c>
      <c r="AH279" s="23">
        <f>SUM('2021 Detail'!J269:U269)+SUM('2021 Detail'!AA269:AC269)</f>
        <v>4846</v>
      </c>
      <c r="AJ279" s="23">
        <f t="shared" si="59"/>
        <v>1</v>
      </c>
      <c r="AL279" t="str">
        <f t="shared" si="60"/>
        <v>Up</v>
      </c>
      <c r="AQ279" s="23">
        <v>403.83</v>
      </c>
    </row>
    <row r="280" spans="1:43" x14ac:dyDescent="0.2">
      <c r="A280" s="226" t="s">
        <v>212</v>
      </c>
      <c r="B280" s="9" t="s">
        <v>495</v>
      </c>
      <c r="C280" s="9" t="s">
        <v>495</v>
      </c>
      <c r="D280" s="9" t="s">
        <v>495</v>
      </c>
      <c r="E280" s="9"/>
      <c r="F280" s="9">
        <v>0</v>
      </c>
      <c r="G280" s="83">
        <v>35889</v>
      </c>
      <c r="H280" s="83">
        <f t="shared" si="56"/>
        <v>30000</v>
      </c>
      <c r="I280" s="133">
        <f t="shared" si="57"/>
        <v>0.83589999999999998</v>
      </c>
      <c r="J280" s="82">
        <v>3000</v>
      </c>
      <c r="K280" s="82">
        <v>3000</v>
      </c>
      <c r="L280" s="82">
        <v>3000</v>
      </c>
      <c r="M280" s="82">
        <v>3000</v>
      </c>
      <c r="N280" s="82">
        <v>3000</v>
      </c>
      <c r="O280" s="82">
        <v>3000</v>
      </c>
      <c r="P280" s="82">
        <v>3000</v>
      </c>
      <c r="Q280" s="82">
        <v>3000</v>
      </c>
      <c r="R280" s="82">
        <v>3000</v>
      </c>
      <c r="S280" s="23"/>
      <c r="T280" s="23">
        <v>3000</v>
      </c>
      <c r="U280" s="23"/>
      <c r="V280" s="79" t="s">
        <v>692</v>
      </c>
      <c r="W280" s="82">
        <f t="shared" si="58"/>
        <v>5889</v>
      </c>
      <c r="Y280" s="4"/>
      <c r="Z280" s="4"/>
      <c r="AA280" s="82"/>
      <c r="AB280" s="82"/>
      <c r="AC280" s="82"/>
      <c r="AD280" s="23"/>
      <c r="AE280" s="7" t="s">
        <v>442</v>
      </c>
      <c r="AH280" s="23">
        <f>SUM('2021 Detail'!J270:U270)+SUM('2021 Detail'!AA270:AC270)</f>
        <v>27000</v>
      </c>
      <c r="AJ280" s="23">
        <f t="shared" si="59"/>
        <v>3000</v>
      </c>
      <c r="AL280" t="str">
        <f t="shared" si="60"/>
        <v>Up</v>
      </c>
      <c r="AQ280" s="23">
        <v>3000</v>
      </c>
    </row>
    <row r="281" spans="1:43" x14ac:dyDescent="0.2">
      <c r="A281" s="226" t="s">
        <v>213</v>
      </c>
      <c r="B281" s="9" t="s">
        <v>495</v>
      </c>
      <c r="C281" s="9" t="s">
        <v>495</v>
      </c>
      <c r="D281" s="9" t="s">
        <v>495</v>
      </c>
      <c r="E281" s="9"/>
      <c r="F281" s="9" t="s">
        <v>495</v>
      </c>
      <c r="G281" s="83">
        <v>15528</v>
      </c>
      <c r="H281" s="83">
        <f t="shared" si="56"/>
        <v>15529</v>
      </c>
      <c r="I281" s="133">
        <f t="shared" si="57"/>
        <v>1.0001</v>
      </c>
      <c r="J281" s="82">
        <v>500</v>
      </c>
      <c r="K281" s="82">
        <v>500</v>
      </c>
      <c r="L281" s="82">
        <v>2000</v>
      </c>
      <c r="M281" s="82">
        <v>500</v>
      </c>
      <c r="N281" s="82">
        <v>2500</v>
      </c>
      <c r="O281" s="82">
        <v>500</v>
      </c>
      <c r="P281" s="82">
        <v>3000</v>
      </c>
      <c r="Q281" s="82">
        <v>500</v>
      </c>
      <c r="R281" s="82">
        <v>500</v>
      </c>
      <c r="S281" s="23">
        <v>2500</v>
      </c>
      <c r="T281" s="23">
        <v>500</v>
      </c>
      <c r="U281" s="23">
        <v>2029</v>
      </c>
      <c r="V281" s="79" t="s">
        <v>693</v>
      </c>
      <c r="W281" s="82">
        <f t="shared" si="58"/>
        <v>-1</v>
      </c>
      <c r="Y281" s="4"/>
      <c r="Z281" s="4"/>
      <c r="AA281" s="82"/>
      <c r="AB281" s="82"/>
      <c r="AC281" s="82"/>
      <c r="AD281" s="23"/>
      <c r="AE281" s="7" t="s">
        <v>451</v>
      </c>
      <c r="AH281" s="23">
        <f>SUM('2021 Detail'!J271:U271)+SUM('2021 Detail'!AA271:AC271)</f>
        <v>12700</v>
      </c>
      <c r="AJ281" s="23">
        <f t="shared" si="59"/>
        <v>2829</v>
      </c>
      <c r="AL281" t="str">
        <f t="shared" si="60"/>
        <v>Up</v>
      </c>
      <c r="AQ281" s="23">
        <v>1200</v>
      </c>
    </row>
    <row r="282" spans="1:43" x14ac:dyDescent="0.2">
      <c r="A282" s="226" t="s">
        <v>214</v>
      </c>
      <c r="B282" s="9" t="s">
        <v>495</v>
      </c>
      <c r="C282" s="9" t="s">
        <v>495</v>
      </c>
      <c r="D282" s="9" t="s">
        <v>495</v>
      </c>
      <c r="E282" s="9"/>
      <c r="F282" s="9">
        <v>0</v>
      </c>
      <c r="G282" s="83">
        <v>29365</v>
      </c>
      <c r="H282" s="83">
        <f t="shared" si="56"/>
        <v>10000</v>
      </c>
      <c r="I282" s="133">
        <f t="shared" si="57"/>
        <v>0.34050000000000002</v>
      </c>
      <c r="J282" s="82"/>
      <c r="K282" s="82"/>
      <c r="L282" s="82"/>
      <c r="M282" s="82"/>
      <c r="N282" s="82"/>
      <c r="O282" s="82"/>
      <c r="P282" s="82"/>
      <c r="Q282" s="82"/>
      <c r="R282" s="82"/>
      <c r="S282" s="23"/>
      <c r="T282" s="23">
        <v>10000</v>
      </c>
      <c r="U282" s="23"/>
      <c r="V282" s="79" t="s">
        <v>694</v>
      </c>
      <c r="W282" s="82">
        <f t="shared" si="58"/>
        <v>19365</v>
      </c>
      <c r="Y282" s="4"/>
      <c r="Z282" s="4"/>
      <c r="AA282" s="82"/>
      <c r="AB282" s="82"/>
      <c r="AC282" s="82"/>
      <c r="AD282" s="23"/>
      <c r="AE282" s="7" t="s">
        <v>442</v>
      </c>
      <c r="AH282" s="23">
        <f>SUM('2021 Detail'!J272:U272)+SUM('2021 Detail'!AA272:AC272)</f>
        <v>4000</v>
      </c>
      <c r="AJ282" s="23">
        <f t="shared" si="59"/>
        <v>6000</v>
      </c>
      <c r="AL282" t="str">
        <f t="shared" si="60"/>
        <v>Up</v>
      </c>
    </row>
    <row r="283" spans="1:43" x14ac:dyDescent="0.2">
      <c r="A283" s="226" t="s">
        <v>215</v>
      </c>
      <c r="B283" s="9" t="s">
        <v>495</v>
      </c>
      <c r="C283" s="9">
        <v>0</v>
      </c>
      <c r="D283" s="9">
        <v>0</v>
      </c>
      <c r="E283" s="9"/>
      <c r="F283" s="9">
        <v>0</v>
      </c>
      <c r="G283" s="83">
        <v>4447</v>
      </c>
      <c r="H283" s="83">
        <f t="shared" si="56"/>
        <v>0</v>
      </c>
      <c r="I283" s="133">
        <f t="shared" si="57"/>
        <v>0</v>
      </c>
      <c r="J283" s="82"/>
      <c r="K283" s="82"/>
      <c r="L283" s="82"/>
      <c r="M283" s="82"/>
      <c r="N283" s="82"/>
      <c r="O283" s="82"/>
      <c r="P283" s="82"/>
      <c r="Q283" s="82"/>
      <c r="R283" s="82"/>
      <c r="S283" s="23"/>
      <c r="T283" s="23"/>
      <c r="U283" s="23"/>
      <c r="V283" s="79" t="s">
        <v>695</v>
      </c>
      <c r="W283" s="82">
        <f t="shared" si="58"/>
        <v>4447</v>
      </c>
      <c r="Y283" s="4"/>
      <c r="Z283" s="4"/>
      <c r="AA283" s="82"/>
      <c r="AB283" s="82"/>
      <c r="AC283" s="82"/>
      <c r="AD283" s="23"/>
      <c r="AE283" s="7" t="s">
        <v>451</v>
      </c>
      <c r="AH283" s="23">
        <f>SUM('2021 Detail'!J273:U273)+SUM('2021 Detail'!AA273:AC273)</f>
        <v>2500</v>
      </c>
      <c r="AJ283" s="23">
        <f t="shared" si="59"/>
        <v>-2500</v>
      </c>
      <c r="AL283" t="str">
        <f t="shared" si="60"/>
        <v>Down</v>
      </c>
      <c r="AQ283" s="23">
        <v>2000</v>
      </c>
    </row>
    <row r="284" spans="1:43" x14ac:dyDescent="0.2">
      <c r="A284" s="226" t="s">
        <v>216</v>
      </c>
      <c r="B284" s="9" t="s">
        <v>495</v>
      </c>
      <c r="C284" s="9" t="s">
        <v>495</v>
      </c>
      <c r="D284" s="9" t="s">
        <v>495</v>
      </c>
      <c r="E284" s="9"/>
      <c r="F284" s="9">
        <v>0</v>
      </c>
      <c r="G284" s="83">
        <v>74014</v>
      </c>
      <c r="H284" s="83">
        <f t="shared" si="56"/>
        <v>74014</v>
      </c>
      <c r="I284" s="133">
        <f t="shared" si="57"/>
        <v>1</v>
      </c>
      <c r="J284" s="82">
        <v>7000</v>
      </c>
      <c r="K284" s="82">
        <v>6500</v>
      </c>
      <c r="L284" s="82">
        <v>6500</v>
      </c>
      <c r="M284" s="82">
        <v>6500</v>
      </c>
      <c r="N284" s="82">
        <v>6500</v>
      </c>
      <c r="O284" s="82">
        <v>6500</v>
      </c>
      <c r="P284" s="82">
        <v>6500</v>
      </c>
      <c r="Q284" s="82">
        <v>6500</v>
      </c>
      <c r="R284" s="82">
        <v>6500</v>
      </c>
      <c r="S284" s="23">
        <v>6000</v>
      </c>
      <c r="T284" s="23">
        <v>6500</v>
      </c>
      <c r="U284" s="23">
        <v>2514</v>
      </c>
      <c r="V284" s="79" t="s">
        <v>696</v>
      </c>
      <c r="W284" s="82">
        <f t="shared" si="58"/>
        <v>0</v>
      </c>
      <c r="Y284" s="4"/>
      <c r="Z284" s="4"/>
      <c r="AA284" s="82"/>
      <c r="AB284" s="82"/>
      <c r="AC284" s="82"/>
      <c r="AD284" s="23"/>
      <c r="AE284" s="7" t="s">
        <v>443</v>
      </c>
      <c r="AH284" s="23">
        <f>SUM('2021 Detail'!J274:U274)+SUM('2021 Detail'!AA274:AC274)</f>
        <v>74014</v>
      </c>
      <c r="AJ284" s="23">
        <f t="shared" si="59"/>
        <v>0</v>
      </c>
      <c r="AL284" t="str">
        <f t="shared" si="60"/>
        <v>Same</v>
      </c>
      <c r="AQ284" s="23">
        <v>7014</v>
      </c>
    </row>
    <row r="285" spans="1:43" x14ac:dyDescent="0.2">
      <c r="A285" s="226" t="s">
        <v>217</v>
      </c>
      <c r="B285" s="9">
        <v>0</v>
      </c>
      <c r="C285" s="9">
        <v>0</v>
      </c>
      <c r="D285" s="9">
        <v>0</v>
      </c>
      <c r="E285" s="9"/>
      <c r="F285" s="9">
        <v>0</v>
      </c>
      <c r="G285" s="83">
        <v>12489</v>
      </c>
      <c r="H285" s="83">
        <f t="shared" si="56"/>
        <v>12489</v>
      </c>
      <c r="I285" s="133">
        <f t="shared" si="57"/>
        <v>1</v>
      </c>
      <c r="J285" s="82"/>
      <c r="K285" s="82"/>
      <c r="L285" s="82"/>
      <c r="M285" s="82"/>
      <c r="N285" s="82">
        <v>3121.98</v>
      </c>
      <c r="O285" s="82"/>
      <c r="P285" s="82">
        <v>510.33</v>
      </c>
      <c r="Q285" s="82">
        <v>510.33</v>
      </c>
      <c r="R285" s="82">
        <v>510.33</v>
      </c>
      <c r="S285" s="23">
        <v>510.33</v>
      </c>
      <c r="T285" s="23">
        <v>6694.29</v>
      </c>
      <c r="U285" s="23">
        <v>510.33</v>
      </c>
      <c r="V285" s="79" t="s">
        <v>697</v>
      </c>
      <c r="W285" s="82">
        <f t="shared" si="58"/>
        <v>0</v>
      </c>
      <c r="Y285" s="4"/>
      <c r="Z285" s="4"/>
      <c r="AA285" s="82">
        <v>121.08</v>
      </c>
      <c r="AB285" s="82"/>
      <c r="AC285" s="82"/>
      <c r="AD285" s="23"/>
      <c r="AE285" s="7" t="s">
        <v>444</v>
      </c>
      <c r="AH285" s="23">
        <f>SUM('2021 Detail'!J275:U275)+SUM('2021 Detail'!AA275:AC275)</f>
        <v>6244.44</v>
      </c>
      <c r="AJ285" s="23">
        <f t="shared" si="59"/>
        <v>6244.56</v>
      </c>
      <c r="AL285" t="str">
        <f t="shared" si="60"/>
        <v>Up</v>
      </c>
      <c r="AQ285" s="23">
        <v>520.37</v>
      </c>
    </row>
    <row r="286" spans="1:43" x14ac:dyDescent="0.2">
      <c r="A286" s="226" t="s">
        <v>218</v>
      </c>
      <c r="B286" s="9" t="s">
        <v>495</v>
      </c>
      <c r="C286" s="9">
        <v>0</v>
      </c>
      <c r="D286" s="9" t="s">
        <v>495</v>
      </c>
      <c r="E286" s="9"/>
      <c r="F286" s="9" t="s">
        <v>495</v>
      </c>
      <c r="G286" s="83">
        <v>8234</v>
      </c>
      <c r="H286" s="83">
        <f t="shared" si="56"/>
        <v>4000</v>
      </c>
      <c r="I286" s="133">
        <f t="shared" si="57"/>
        <v>0.48580000000000001</v>
      </c>
      <c r="J286" s="82">
        <v>250</v>
      </c>
      <c r="K286" s="82">
        <v>250</v>
      </c>
      <c r="L286" s="82">
        <v>250</v>
      </c>
      <c r="M286" s="82">
        <v>250</v>
      </c>
      <c r="N286" s="82">
        <v>250</v>
      </c>
      <c r="O286" s="82">
        <v>250</v>
      </c>
      <c r="P286" s="82">
        <v>250</v>
      </c>
      <c r="Q286" s="82">
        <v>250</v>
      </c>
      <c r="R286" s="82">
        <v>250</v>
      </c>
      <c r="S286" s="23">
        <v>250</v>
      </c>
      <c r="T286" s="23">
        <v>250</v>
      </c>
      <c r="U286" s="23">
        <v>1250</v>
      </c>
      <c r="V286" s="79" t="s">
        <v>698</v>
      </c>
      <c r="W286" s="82">
        <f t="shared" si="58"/>
        <v>4234</v>
      </c>
      <c r="Y286" s="4"/>
      <c r="Z286" s="4"/>
      <c r="AA286" s="82"/>
      <c r="AB286" s="82"/>
      <c r="AC286" s="82"/>
      <c r="AD286" s="23"/>
      <c r="AE286" s="7" t="s">
        <v>444</v>
      </c>
      <c r="AH286" s="23">
        <f>SUM('2021 Detail'!J276:U276)+SUM('2021 Detail'!AA276:AC276)</f>
        <v>3000</v>
      </c>
      <c r="AJ286" s="23">
        <f t="shared" si="59"/>
        <v>1000</v>
      </c>
      <c r="AL286" t="str">
        <f t="shared" si="60"/>
        <v>Up</v>
      </c>
      <c r="AQ286" s="23">
        <v>250</v>
      </c>
    </row>
    <row r="287" spans="1:43" x14ac:dyDescent="0.2">
      <c r="A287" s="226" t="s">
        <v>219</v>
      </c>
      <c r="B287" s="9" t="s">
        <v>495</v>
      </c>
      <c r="C287" s="9" t="s">
        <v>495</v>
      </c>
      <c r="D287" s="9" t="s">
        <v>495</v>
      </c>
      <c r="E287" s="9"/>
      <c r="F287" s="9">
        <v>0</v>
      </c>
      <c r="G287" s="83">
        <v>5352</v>
      </c>
      <c r="H287" s="83">
        <f t="shared" si="56"/>
        <v>5352</v>
      </c>
      <c r="I287" s="133">
        <f t="shared" si="57"/>
        <v>1</v>
      </c>
      <c r="J287" s="82">
        <v>200</v>
      </c>
      <c r="K287" s="82">
        <v>200</v>
      </c>
      <c r="L287" s="82">
        <v>200</v>
      </c>
      <c r="M287" s="82">
        <v>200</v>
      </c>
      <c r="N287" s="82">
        <v>200</v>
      </c>
      <c r="O287" s="82">
        <v>200</v>
      </c>
      <c r="P287" s="82">
        <v>200</v>
      </c>
      <c r="Q287" s="82">
        <v>200</v>
      </c>
      <c r="R287" s="82">
        <v>200</v>
      </c>
      <c r="S287" s="23">
        <v>2200</v>
      </c>
      <c r="T287" s="23">
        <v>200</v>
      </c>
      <c r="U287" s="23">
        <v>1152</v>
      </c>
      <c r="V287" s="79" t="s">
        <v>699</v>
      </c>
      <c r="W287" s="82">
        <f t="shared" si="58"/>
        <v>0</v>
      </c>
      <c r="Y287" s="4"/>
      <c r="Z287" s="4"/>
      <c r="AA287" s="82"/>
      <c r="AB287" s="82"/>
      <c r="AC287" s="82"/>
      <c r="AD287" s="23"/>
      <c r="AE287" s="7" t="s">
        <v>444</v>
      </c>
      <c r="AH287" s="23">
        <f>SUM('2021 Detail'!J277:U277)+SUM('2021 Detail'!AA277:AC277)</f>
        <v>2400</v>
      </c>
      <c r="AJ287" s="23">
        <f t="shared" si="59"/>
        <v>2952</v>
      </c>
      <c r="AL287" t="str">
        <f t="shared" si="60"/>
        <v>Up</v>
      </c>
      <c r="AQ287" s="23">
        <v>200</v>
      </c>
    </row>
    <row r="288" spans="1:43" x14ac:dyDescent="0.2">
      <c r="A288" s="226" t="s">
        <v>220</v>
      </c>
      <c r="B288" s="9" t="s">
        <v>495</v>
      </c>
      <c r="C288" s="9" t="s">
        <v>495</v>
      </c>
      <c r="D288" s="9" t="s">
        <v>495</v>
      </c>
      <c r="E288" s="9"/>
      <c r="F288" s="9" t="s">
        <v>495</v>
      </c>
      <c r="G288" s="83">
        <v>50544</v>
      </c>
      <c r="H288" s="83">
        <f t="shared" si="56"/>
        <v>50544</v>
      </c>
      <c r="I288" s="133">
        <f t="shared" si="57"/>
        <v>1</v>
      </c>
      <c r="J288" s="82">
        <v>4212</v>
      </c>
      <c r="K288" s="82">
        <v>4212</v>
      </c>
      <c r="L288" s="82">
        <v>4212</v>
      </c>
      <c r="M288" s="82">
        <v>4212</v>
      </c>
      <c r="N288" s="82">
        <v>4212</v>
      </c>
      <c r="O288" s="82">
        <v>4212</v>
      </c>
      <c r="P288" s="82">
        <v>4212</v>
      </c>
      <c r="Q288" s="82">
        <v>4212</v>
      </c>
      <c r="R288" s="82">
        <v>4212</v>
      </c>
      <c r="S288" s="82">
        <v>4212</v>
      </c>
      <c r="T288" s="23">
        <v>4212</v>
      </c>
      <c r="U288" s="23">
        <v>4212</v>
      </c>
      <c r="V288" s="79" t="s">
        <v>700</v>
      </c>
      <c r="W288" s="82">
        <f t="shared" si="58"/>
        <v>0</v>
      </c>
      <c r="Y288" s="4"/>
      <c r="Z288" s="4"/>
      <c r="AA288" s="82"/>
      <c r="AB288" s="82"/>
      <c r="AC288" s="82"/>
      <c r="AD288" s="23"/>
      <c r="AE288" s="7" t="s">
        <v>445</v>
      </c>
      <c r="AH288" s="23">
        <f>SUM('2021 Detail'!J278:U278)+SUM('2021 Detail'!AA278:AC278)</f>
        <v>50544</v>
      </c>
      <c r="AJ288" s="23">
        <f t="shared" si="59"/>
        <v>0</v>
      </c>
      <c r="AL288" t="str">
        <f t="shared" si="60"/>
        <v>Same</v>
      </c>
      <c r="AQ288" s="23">
        <v>4212</v>
      </c>
    </row>
    <row r="289" spans="1:43" x14ac:dyDescent="0.2">
      <c r="A289" s="226" t="s">
        <v>221</v>
      </c>
      <c r="B289" s="9" t="s">
        <v>495</v>
      </c>
      <c r="C289" s="9" t="s">
        <v>495</v>
      </c>
      <c r="D289" s="9">
        <v>0</v>
      </c>
      <c r="E289" s="9"/>
      <c r="F289" s="9">
        <v>0</v>
      </c>
      <c r="G289" s="83">
        <v>54722</v>
      </c>
      <c r="H289" s="83">
        <f t="shared" si="56"/>
        <v>21888.799999999999</v>
      </c>
      <c r="I289" s="133">
        <f t="shared" si="57"/>
        <v>0.4</v>
      </c>
      <c r="J289" s="82"/>
      <c r="K289" s="82"/>
      <c r="L289" s="82">
        <v>8208.2999999999993</v>
      </c>
      <c r="M289" s="82">
        <v>2736.1</v>
      </c>
      <c r="N289" s="82">
        <v>5472.2</v>
      </c>
      <c r="O289" s="82"/>
      <c r="P289" s="82">
        <v>5472.2</v>
      </c>
      <c r="Q289" s="82"/>
      <c r="R289" s="82"/>
      <c r="S289" s="23"/>
      <c r="T289" s="23"/>
      <c r="U289" s="23"/>
      <c r="V289" s="79" t="s">
        <v>701</v>
      </c>
      <c r="W289" s="82">
        <f t="shared" si="58"/>
        <v>32833.199999999997</v>
      </c>
      <c r="Y289" s="4"/>
      <c r="Z289" s="4"/>
      <c r="AA289" s="82"/>
      <c r="AB289" s="82"/>
      <c r="AC289" s="82"/>
      <c r="AD289" s="23"/>
      <c r="AE289" s="7" t="s">
        <v>446</v>
      </c>
      <c r="AH289" s="23">
        <f>SUM('2021 Detail'!J279:U279)+SUM('2021 Detail'!AA279:AC279)</f>
        <v>41041.5</v>
      </c>
      <c r="AJ289" s="23">
        <f t="shared" si="59"/>
        <v>-19152.7</v>
      </c>
      <c r="AL289" t="str">
        <f t="shared" si="60"/>
        <v>Down</v>
      </c>
      <c r="AQ289" s="23">
        <v>2736.1</v>
      </c>
    </row>
    <row r="290" spans="1:43" x14ac:dyDescent="0.2">
      <c r="A290" s="226" t="s">
        <v>222</v>
      </c>
      <c r="B290" s="9" t="s">
        <v>495</v>
      </c>
      <c r="C290" s="9" t="s">
        <v>495</v>
      </c>
      <c r="D290" s="9" t="s">
        <v>495</v>
      </c>
      <c r="E290" s="9"/>
      <c r="F290" s="9">
        <v>0</v>
      </c>
      <c r="G290" s="83">
        <v>11607</v>
      </c>
      <c r="H290" s="83">
        <f t="shared" si="56"/>
        <v>6000</v>
      </c>
      <c r="I290" s="133">
        <f t="shared" si="57"/>
        <v>0.51690000000000003</v>
      </c>
      <c r="J290" s="82"/>
      <c r="K290" s="82"/>
      <c r="L290" s="82">
        <v>1000</v>
      </c>
      <c r="M290" s="82"/>
      <c r="N290" s="82"/>
      <c r="O290" s="82"/>
      <c r="P290" s="82">
        <v>2000</v>
      </c>
      <c r="Q290" s="82"/>
      <c r="R290" s="82"/>
      <c r="S290" s="23"/>
      <c r="T290" s="23"/>
      <c r="U290" s="23">
        <v>3000</v>
      </c>
      <c r="V290" s="79" t="s">
        <v>702</v>
      </c>
      <c r="W290" s="82">
        <f t="shared" si="58"/>
        <v>5607</v>
      </c>
      <c r="Y290" s="4"/>
      <c r="Z290" s="4"/>
      <c r="AA290" s="82"/>
      <c r="AB290" s="82"/>
      <c r="AC290" s="82"/>
      <c r="AD290" s="23"/>
      <c r="AE290" s="7" t="s">
        <v>446</v>
      </c>
      <c r="AH290" s="23">
        <f>SUM('2021 Detail'!J280:U280)+SUM('2021 Detail'!AA280:AC280)</f>
        <v>3000</v>
      </c>
      <c r="AJ290" s="23">
        <f t="shared" si="59"/>
        <v>3000</v>
      </c>
      <c r="AL290" t="str">
        <f t="shared" si="60"/>
        <v>Up</v>
      </c>
      <c r="AQ290" s="23">
        <v>1000</v>
      </c>
    </row>
    <row r="291" spans="1:43" x14ac:dyDescent="0.2">
      <c r="A291" s="226" t="s">
        <v>223</v>
      </c>
      <c r="B291" s="9" t="s">
        <v>495</v>
      </c>
      <c r="C291" s="9" t="s">
        <v>495</v>
      </c>
      <c r="D291" s="9" t="s">
        <v>495</v>
      </c>
      <c r="E291" s="9"/>
      <c r="F291" s="9" t="s">
        <v>495</v>
      </c>
      <c r="G291" s="83">
        <v>33762</v>
      </c>
      <c r="H291" s="83">
        <f t="shared" si="56"/>
        <v>24000</v>
      </c>
      <c r="I291" s="133">
        <f t="shared" si="57"/>
        <v>0.71089999999999998</v>
      </c>
      <c r="J291" s="82">
        <v>2000</v>
      </c>
      <c r="K291" s="82">
        <v>2000</v>
      </c>
      <c r="L291" s="82">
        <v>2000</v>
      </c>
      <c r="M291" s="82">
        <v>2000</v>
      </c>
      <c r="N291" s="82">
        <v>2000</v>
      </c>
      <c r="O291" s="82">
        <v>2000</v>
      </c>
      <c r="P291" s="82">
        <v>2000</v>
      </c>
      <c r="Q291" s="82">
        <v>2000</v>
      </c>
      <c r="R291" s="82">
        <v>2000</v>
      </c>
      <c r="S291" s="23">
        <v>2000</v>
      </c>
      <c r="T291" s="23">
        <v>2000</v>
      </c>
      <c r="U291" s="23">
        <v>2000</v>
      </c>
      <c r="V291" s="79" t="s">
        <v>703</v>
      </c>
      <c r="W291" s="82">
        <f t="shared" si="58"/>
        <v>9762</v>
      </c>
      <c r="Y291" s="4"/>
      <c r="Z291" s="4"/>
      <c r="AA291" s="82"/>
      <c r="AB291" s="82"/>
      <c r="AC291" s="82"/>
      <c r="AD291" s="23"/>
      <c r="AE291" s="7" t="s">
        <v>450</v>
      </c>
      <c r="AH291" s="23">
        <f>SUM('2021 Detail'!J281:U281)+SUM('2021 Detail'!AA281:AC281)</f>
        <v>27904.799999999999</v>
      </c>
      <c r="AJ291" s="23">
        <f t="shared" si="59"/>
        <v>-3904.7999999999993</v>
      </c>
      <c r="AL291" t="str">
        <f t="shared" si="60"/>
        <v>Down</v>
      </c>
      <c r="AQ291" s="23">
        <v>2000</v>
      </c>
    </row>
    <row r="292" spans="1:43" x14ac:dyDescent="0.2">
      <c r="A292" s="226" t="s">
        <v>224</v>
      </c>
      <c r="B292" s="9" t="s">
        <v>495</v>
      </c>
      <c r="C292" s="9">
        <v>0</v>
      </c>
      <c r="D292" s="9">
        <v>0</v>
      </c>
      <c r="E292" s="9"/>
      <c r="F292" s="9">
        <v>0</v>
      </c>
      <c r="G292" s="83">
        <v>72417</v>
      </c>
      <c r="H292" s="83">
        <f t="shared" si="56"/>
        <v>54312.75</v>
      </c>
      <c r="I292" s="133">
        <f t="shared" si="57"/>
        <v>0.75</v>
      </c>
      <c r="J292" s="82"/>
      <c r="K292" s="82">
        <v>6034.75</v>
      </c>
      <c r="L292" s="82">
        <v>6034.75</v>
      </c>
      <c r="M292" s="82">
        <v>6034.75</v>
      </c>
      <c r="N292" s="82"/>
      <c r="O292" s="82"/>
      <c r="P292" s="82">
        <v>6034.75</v>
      </c>
      <c r="Q292" s="82">
        <v>18104.25</v>
      </c>
      <c r="R292" s="82"/>
      <c r="S292" s="23">
        <v>6034.75</v>
      </c>
      <c r="T292" s="23">
        <v>6034.75</v>
      </c>
      <c r="U292" s="23"/>
      <c r="V292" s="79" t="s">
        <v>704</v>
      </c>
      <c r="W292" s="82">
        <f t="shared" si="58"/>
        <v>18104.25</v>
      </c>
      <c r="Y292" s="4"/>
      <c r="Z292" s="4"/>
      <c r="AA292" s="82"/>
      <c r="AB292" s="82"/>
      <c r="AC292" s="82"/>
      <c r="AD292" s="23"/>
      <c r="AE292" s="7" t="s">
        <v>448</v>
      </c>
      <c r="AH292" s="23">
        <f>SUM('2021 Detail'!J282:U282)+SUM('2021 Detail'!AA282:AC282)</f>
        <v>72417</v>
      </c>
      <c r="AJ292" s="23">
        <f t="shared" si="59"/>
        <v>-18104.25</v>
      </c>
      <c r="AL292" t="str">
        <f t="shared" si="60"/>
        <v>Down</v>
      </c>
      <c r="AQ292" s="23">
        <v>6034.75</v>
      </c>
    </row>
    <row r="293" spans="1:43" x14ac:dyDescent="0.2">
      <c r="A293" s="226" t="s">
        <v>225</v>
      </c>
      <c r="B293" s="9" t="s">
        <v>495</v>
      </c>
      <c r="C293" s="9">
        <v>0</v>
      </c>
      <c r="D293" s="9">
        <v>0</v>
      </c>
      <c r="E293" s="9"/>
      <c r="F293" s="9">
        <v>0</v>
      </c>
      <c r="G293" s="83">
        <v>33193</v>
      </c>
      <c r="H293" s="83">
        <f t="shared" si="56"/>
        <v>0</v>
      </c>
      <c r="I293" s="133">
        <f t="shared" si="57"/>
        <v>0</v>
      </c>
      <c r="J293" s="82"/>
      <c r="K293" s="82"/>
      <c r="L293" s="82"/>
      <c r="M293" s="82"/>
      <c r="N293" s="82"/>
      <c r="O293" s="82"/>
      <c r="P293" s="82"/>
      <c r="Q293" s="82"/>
      <c r="R293" s="82"/>
      <c r="S293" s="23"/>
      <c r="T293" s="23"/>
      <c r="U293" s="23"/>
      <c r="V293" s="79" t="s">
        <v>705</v>
      </c>
      <c r="W293" s="82">
        <f t="shared" si="58"/>
        <v>33193</v>
      </c>
      <c r="Y293" s="4"/>
      <c r="Z293" s="4"/>
      <c r="AA293" s="82"/>
      <c r="AB293" s="82"/>
      <c r="AC293" s="82"/>
      <c r="AD293" s="23"/>
      <c r="AE293" s="7" t="s">
        <v>449</v>
      </c>
      <c r="AH293" s="23">
        <f>SUM('2021 Detail'!J283:U283)+SUM('2021 Detail'!AA283:AC283)</f>
        <v>4000</v>
      </c>
      <c r="AJ293" s="23">
        <f t="shared" si="59"/>
        <v>-4000</v>
      </c>
      <c r="AL293" t="str">
        <f t="shared" si="60"/>
        <v>Down</v>
      </c>
    </row>
    <row r="294" spans="1:43" x14ac:dyDescent="0.2">
      <c r="A294" s="226" t="s">
        <v>226</v>
      </c>
      <c r="B294" s="9" t="s">
        <v>495</v>
      </c>
      <c r="C294" s="9" t="s">
        <v>495</v>
      </c>
      <c r="D294" s="9">
        <v>0</v>
      </c>
      <c r="E294" s="9"/>
      <c r="F294" s="9" t="s">
        <v>495</v>
      </c>
      <c r="G294" s="83">
        <v>67523</v>
      </c>
      <c r="H294" s="83">
        <f t="shared" si="56"/>
        <v>50642.279999999992</v>
      </c>
      <c r="I294" s="133">
        <f t="shared" si="57"/>
        <v>0.75</v>
      </c>
      <c r="J294" s="82">
        <v>5626.92</v>
      </c>
      <c r="K294" s="82">
        <v>5626.92</v>
      </c>
      <c r="L294" s="82">
        <v>5626.92</v>
      </c>
      <c r="M294" s="82">
        <v>5626.92</v>
      </c>
      <c r="N294" s="82">
        <v>5626.92</v>
      </c>
      <c r="O294" s="82">
        <v>5626.92</v>
      </c>
      <c r="P294" s="82">
        <v>5626.92</v>
      </c>
      <c r="Q294" s="82">
        <v>5626.92</v>
      </c>
      <c r="R294" s="82">
        <v>5626.92</v>
      </c>
      <c r="S294" s="23"/>
      <c r="T294" s="23"/>
      <c r="U294" s="23"/>
      <c r="V294" s="79" t="s">
        <v>706</v>
      </c>
      <c r="W294" s="82">
        <f t="shared" si="58"/>
        <v>16880.720000000008</v>
      </c>
      <c r="Y294" s="4"/>
      <c r="Z294" s="4"/>
      <c r="AA294" s="82"/>
      <c r="AB294" s="82"/>
      <c r="AC294" s="82"/>
      <c r="AD294" s="23"/>
      <c r="AE294" s="7" t="s">
        <v>450</v>
      </c>
      <c r="AH294" s="23">
        <f>SUM('2021 Detail'!J284:U284)+SUM('2021 Detail'!AA284:AC284)</f>
        <v>67523.01999999999</v>
      </c>
      <c r="AJ294" s="23">
        <f t="shared" si="59"/>
        <v>-16880.739999999998</v>
      </c>
      <c r="AL294" t="str">
        <f t="shared" si="60"/>
        <v>Down</v>
      </c>
      <c r="AQ294" s="23">
        <v>5626.92</v>
      </c>
    </row>
    <row r="295" spans="1:43" x14ac:dyDescent="0.2">
      <c r="A295" s="226" t="s">
        <v>227</v>
      </c>
      <c r="B295" s="9" t="s">
        <v>495</v>
      </c>
      <c r="C295" s="9" t="s">
        <v>495</v>
      </c>
      <c r="D295" s="9">
        <v>0</v>
      </c>
      <c r="E295" s="9"/>
      <c r="F295" s="9" t="s">
        <v>495</v>
      </c>
      <c r="G295" s="83">
        <v>41478</v>
      </c>
      <c r="H295" s="83">
        <f t="shared" si="56"/>
        <v>41478</v>
      </c>
      <c r="I295" s="133">
        <f t="shared" si="57"/>
        <v>1</v>
      </c>
      <c r="J295" s="82">
        <v>3456.5</v>
      </c>
      <c r="K295" s="82">
        <v>3456.5</v>
      </c>
      <c r="L295" s="82">
        <v>3456.5</v>
      </c>
      <c r="M295" s="82">
        <v>3456.5</v>
      </c>
      <c r="N295" s="82">
        <v>3456.5</v>
      </c>
      <c r="O295" s="82">
        <v>3456.5</v>
      </c>
      <c r="P295" s="82">
        <v>3456.5</v>
      </c>
      <c r="Q295" s="82">
        <v>3456.5</v>
      </c>
      <c r="R295" s="82">
        <v>3456.5</v>
      </c>
      <c r="S295" s="23">
        <v>3456.5</v>
      </c>
      <c r="T295" s="23">
        <v>3456.5</v>
      </c>
      <c r="U295" s="23">
        <v>3456.5</v>
      </c>
      <c r="V295" s="79" t="s">
        <v>707</v>
      </c>
      <c r="W295" s="82">
        <f t="shared" si="58"/>
        <v>0</v>
      </c>
      <c r="Y295" s="4"/>
      <c r="Z295" s="4"/>
      <c r="AA295" s="82"/>
      <c r="AB295" s="82"/>
      <c r="AC295" s="82"/>
      <c r="AD295" s="23"/>
      <c r="AE295" s="7" t="s">
        <v>451</v>
      </c>
      <c r="AH295" s="23">
        <f>SUM('2021 Detail'!J285:U285)+SUM('2021 Detail'!AA285:AC285)</f>
        <v>41478</v>
      </c>
      <c r="AJ295" s="23">
        <f t="shared" si="59"/>
        <v>0</v>
      </c>
      <c r="AL295" t="str">
        <f t="shared" si="60"/>
        <v>Same</v>
      </c>
      <c r="AQ295" s="23">
        <v>3456.5</v>
      </c>
    </row>
    <row r="296" spans="1:43" x14ac:dyDescent="0.2">
      <c r="A296" s="226" t="s">
        <v>228</v>
      </c>
      <c r="B296" s="9" t="s">
        <v>495</v>
      </c>
      <c r="C296" s="9">
        <v>0</v>
      </c>
      <c r="D296" s="9">
        <v>0</v>
      </c>
      <c r="E296" s="9"/>
      <c r="F296" s="9" t="s">
        <v>495</v>
      </c>
      <c r="G296" s="83">
        <v>13203</v>
      </c>
      <c r="H296" s="83">
        <f t="shared" si="56"/>
        <v>13203</v>
      </c>
      <c r="I296" s="133">
        <f t="shared" si="57"/>
        <v>1</v>
      </c>
      <c r="J296" s="82">
        <v>1100.25</v>
      </c>
      <c r="K296" s="82">
        <v>1100.25</v>
      </c>
      <c r="L296" s="82">
        <v>1100.25</v>
      </c>
      <c r="M296" s="82">
        <v>1100.25</v>
      </c>
      <c r="N296" s="82">
        <v>1100.25</v>
      </c>
      <c r="O296" s="82">
        <v>1100.25</v>
      </c>
      <c r="P296" s="82">
        <v>1100.25</v>
      </c>
      <c r="Q296" s="82">
        <v>1100.25</v>
      </c>
      <c r="R296" s="82">
        <v>1100.25</v>
      </c>
      <c r="S296" s="23">
        <v>1100.25</v>
      </c>
      <c r="T296" s="23">
        <v>1100.25</v>
      </c>
      <c r="U296" s="23">
        <v>1100.25</v>
      </c>
      <c r="V296" s="79" t="s">
        <v>708</v>
      </c>
      <c r="W296" s="82">
        <f t="shared" si="58"/>
        <v>0</v>
      </c>
      <c r="Y296" s="4"/>
      <c r="Z296" s="4"/>
      <c r="AA296" s="82"/>
      <c r="AB296" s="82"/>
      <c r="AC296" s="82"/>
      <c r="AD296" s="23"/>
      <c r="AE296" s="7" t="s">
        <v>451</v>
      </c>
      <c r="AH296" s="23">
        <f>SUM('2021 Detail'!J286:U286)+SUM('2021 Detail'!AA286:AC286)</f>
        <v>13203</v>
      </c>
      <c r="AJ296" s="23">
        <f t="shared" si="59"/>
        <v>0</v>
      </c>
      <c r="AL296" t="str">
        <f t="shared" si="60"/>
        <v>Same</v>
      </c>
      <c r="AQ296" s="23">
        <v>1100.25</v>
      </c>
    </row>
    <row r="297" spans="1:43" x14ac:dyDescent="0.2">
      <c r="A297" s="226" t="s">
        <v>229</v>
      </c>
      <c r="B297" s="9" t="s">
        <v>495</v>
      </c>
      <c r="C297" s="9" t="s">
        <v>495</v>
      </c>
      <c r="D297" s="9">
        <v>0</v>
      </c>
      <c r="E297" s="9"/>
      <c r="F297" s="9">
        <v>0</v>
      </c>
      <c r="G297" s="83">
        <v>155275</v>
      </c>
      <c r="H297" s="83">
        <f t="shared" si="56"/>
        <v>155275</v>
      </c>
      <c r="I297" s="133">
        <f t="shared" si="57"/>
        <v>1</v>
      </c>
      <c r="J297" s="82">
        <v>12939</v>
      </c>
      <c r="K297" s="82">
        <v>12939</v>
      </c>
      <c r="L297" s="82">
        <v>12939</v>
      </c>
      <c r="M297" s="82">
        <v>12939</v>
      </c>
      <c r="N297" s="82">
        <v>12939</v>
      </c>
      <c r="O297" s="82">
        <v>12939</v>
      </c>
      <c r="P297" s="82">
        <v>12939</v>
      </c>
      <c r="Q297" s="82">
        <v>12939</v>
      </c>
      <c r="R297" s="82">
        <v>12939</v>
      </c>
      <c r="S297" s="23">
        <v>12939</v>
      </c>
      <c r="T297" s="23">
        <v>12939</v>
      </c>
      <c r="U297" s="23">
        <v>12946</v>
      </c>
      <c r="V297" s="79" t="s">
        <v>709</v>
      </c>
      <c r="W297" s="82">
        <f t="shared" si="58"/>
        <v>0</v>
      </c>
      <c r="Y297" s="4"/>
      <c r="Z297" s="4"/>
      <c r="AA297" s="82"/>
      <c r="AB297" s="82"/>
      <c r="AC297" s="82"/>
      <c r="AD297" s="23"/>
      <c r="AE297" s="7" t="s">
        <v>447</v>
      </c>
      <c r="AH297" s="23">
        <f>SUM('2021 Detail'!J287:U287)+SUM('2021 Detail'!AA287:AC287)</f>
        <v>155296</v>
      </c>
      <c r="AJ297" s="23">
        <f t="shared" si="59"/>
        <v>-21</v>
      </c>
      <c r="AL297" t="str">
        <f t="shared" si="60"/>
        <v>Down</v>
      </c>
      <c r="AQ297" s="23">
        <v>12947</v>
      </c>
    </row>
    <row r="298" spans="1:43" x14ac:dyDescent="0.2">
      <c r="A298" s="226" t="s">
        <v>230</v>
      </c>
      <c r="B298" s="9">
        <v>0</v>
      </c>
      <c r="C298" s="9" t="s">
        <v>495</v>
      </c>
      <c r="D298" s="9">
        <v>0</v>
      </c>
      <c r="E298" s="9"/>
      <c r="F298" s="9">
        <v>0</v>
      </c>
      <c r="G298" s="83">
        <v>1372</v>
      </c>
      <c r="H298" s="83">
        <f t="shared" si="56"/>
        <v>700</v>
      </c>
      <c r="I298" s="133">
        <f t="shared" si="57"/>
        <v>0.51019999999999999</v>
      </c>
      <c r="J298" s="82"/>
      <c r="K298" s="82"/>
      <c r="L298" s="82"/>
      <c r="M298" s="82"/>
      <c r="N298" s="82"/>
      <c r="O298" s="82"/>
      <c r="P298" s="82"/>
      <c r="Q298" s="82"/>
      <c r="R298" s="82"/>
      <c r="S298" s="23"/>
      <c r="T298" s="23">
        <v>700</v>
      </c>
      <c r="U298" s="23"/>
      <c r="V298" s="79" t="s">
        <v>710</v>
      </c>
      <c r="W298" s="82">
        <f t="shared" si="58"/>
        <v>672</v>
      </c>
      <c r="Y298" s="4"/>
      <c r="Z298" s="4"/>
      <c r="AA298" s="82"/>
      <c r="AB298" s="82"/>
      <c r="AC298" s="82"/>
      <c r="AD298" s="23"/>
      <c r="AE298" s="7" t="s">
        <v>444</v>
      </c>
      <c r="AH298" s="23">
        <f>SUM('2021 Detail'!J288:U288)+SUM('2021 Detail'!AA288:AC288)</f>
        <v>700</v>
      </c>
      <c r="AJ298" s="23">
        <f t="shared" si="59"/>
        <v>0</v>
      </c>
      <c r="AL298" t="str">
        <f t="shared" si="60"/>
        <v>Same</v>
      </c>
      <c r="AQ298" s="23">
        <v>700</v>
      </c>
    </row>
    <row r="299" spans="1:43" x14ac:dyDescent="0.2">
      <c r="G299" s="83"/>
      <c r="H299" s="83"/>
      <c r="I299" s="133"/>
      <c r="Y299" s="4"/>
      <c r="Z299" s="4"/>
      <c r="AJ299" s="23"/>
    </row>
    <row r="300" spans="1:43" x14ac:dyDescent="0.2">
      <c r="A300" s="226" t="s">
        <v>1142</v>
      </c>
      <c r="G300" s="83">
        <f>SUM(G275:G299)</f>
        <v>891905</v>
      </c>
      <c r="H300" s="83">
        <f>SUM(H275:H299)</f>
        <v>740918.83</v>
      </c>
      <c r="I300" s="133">
        <f t="shared" ref="I300:I301" si="61">ROUND((H300/G300),4)</f>
        <v>0.83069999999999999</v>
      </c>
      <c r="J300" s="83">
        <f>SUM(J275:J299)</f>
        <v>41860.54</v>
      </c>
      <c r="K300" s="83">
        <f t="shared" ref="K300:W300" si="62">SUM(K275:K299)</f>
        <v>71276.350000000006</v>
      </c>
      <c r="L300" s="83">
        <f t="shared" si="62"/>
        <v>60008.639999999999</v>
      </c>
      <c r="M300" s="83">
        <f t="shared" si="62"/>
        <v>73012.44</v>
      </c>
      <c r="N300" s="83">
        <f t="shared" si="62"/>
        <v>64345.26999999999</v>
      </c>
      <c r="O300" s="83">
        <f t="shared" si="62"/>
        <v>53751.09</v>
      </c>
      <c r="P300" s="83">
        <f t="shared" si="62"/>
        <v>69268.37</v>
      </c>
      <c r="Q300" s="83">
        <f t="shared" si="62"/>
        <v>72365.67</v>
      </c>
      <c r="R300" s="83">
        <f t="shared" si="62"/>
        <v>54261.42</v>
      </c>
      <c r="S300" s="4">
        <f t="shared" si="62"/>
        <v>54169.25</v>
      </c>
      <c r="T300" s="4">
        <f t="shared" si="62"/>
        <v>71477.209999999992</v>
      </c>
      <c r="U300" s="4">
        <f t="shared" si="62"/>
        <v>50136.5</v>
      </c>
      <c r="V300" s="77"/>
      <c r="W300" s="82">
        <f t="shared" si="62"/>
        <v>150986.17000000001</v>
      </c>
      <c r="Y300" s="4"/>
      <c r="Z300" s="4"/>
      <c r="AA300" s="83">
        <f t="shared" ref="AA300:AC300" si="63">SUM(AA275:AA299)</f>
        <v>4986.08</v>
      </c>
      <c r="AB300" s="83">
        <f t="shared" si="63"/>
        <v>0</v>
      </c>
      <c r="AC300" s="83">
        <f t="shared" si="63"/>
        <v>0</v>
      </c>
      <c r="AD300" s="4"/>
      <c r="AH300" s="23">
        <f>SUM(AH275:AH299)</f>
        <v>779971.76</v>
      </c>
      <c r="AJ300" s="23">
        <f t="shared" si="59"/>
        <v>-39052.930000000051</v>
      </c>
      <c r="AM300" s="11">
        <f>SUM(J300:R300)+SUM(S301:U301)+SUM('2020 detail'!AA289:AC289)</f>
        <v>769605.74999999988</v>
      </c>
      <c r="AN300" s="24">
        <f>ROUND((AM300/G300),4)</f>
        <v>0.8629</v>
      </c>
      <c r="AO300" s="24">
        <f>ROUND((SUM(J301:U301)/G301),4)</f>
        <v>0.85219999999999996</v>
      </c>
      <c r="AQ300" s="23">
        <f>SUM(AQ275:AQ299)</f>
        <v>70848.51999999999</v>
      </c>
    </row>
    <row r="301" spans="1:43" x14ac:dyDescent="0.2">
      <c r="A301" s="253" t="s">
        <v>1056</v>
      </c>
      <c r="G301" s="206">
        <f>'2021 Detail'!G290</f>
        <v>891905</v>
      </c>
      <c r="H301" s="206">
        <f>SUM(J301:U301)+SUM(AA301:AC301)</f>
        <v>779971.76</v>
      </c>
      <c r="I301" s="207">
        <f t="shared" si="61"/>
        <v>0.87450000000000006</v>
      </c>
      <c r="J301" s="206">
        <f>'2021 Detail'!J290</f>
        <v>36371.32</v>
      </c>
      <c r="K301" s="206">
        <f>'2021 Detail'!K290</f>
        <v>40614.78</v>
      </c>
      <c r="L301" s="206">
        <f>'2021 Detail'!L290</f>
        <v>77212.679999999993</v>
      </c>
      <c r="M301" s="206">
        <f>'2021 Detail'!M290</f>
        <v>81804.539999999994</v>
      </c>
      <c r="N301" s="206">
        <f>'2021 Detail'!N290</f>
        <v>64393.549999999996</v>
      </c>
      <c r="O301" s="206">
        <f>'2021 Detail'!O290</f>
        <v>60940.17</v>
      </c>
      <c r="P301" s="206">
        <f>'2021 Detail'!P290</f>
        <v>60231.869999999995</v>
      </c>
      <c r="Q301" s="206">
        <f>'2021 Detail'!Q290</f>
        <v>56531.869999999995</v>
      </c>
      <c r="R301" s="206">
        <f>'2021 Detail'!R290</f>
        <v>72517.319999999992</v>
      </c>
      <c r="S301" s="206">
        <f>'2021 Detail'!S290</f>
        <v>67661.67</v>
      </c>
      <c r="T301" s="206">
        <f>'2021 Detail'!T290</f>
        <v>70945.76999999999</v>
      </c>
      <c r="U301" s="206">
        <f>'2021 Detail'!U290</f>
        <v>70848.51999999999</v>
      </c>
      <c r="V301" s="206"/>
      <c r="W301" s="206"/>
      <c r="X301" s="206"/>
      <c r="Y301" s="4"/>
      <c r="Z301" s="4"/>
      <c r="AA301" s="206">
        <f>'2021 Detail'!AA290</f>
        <v>19239</v>
      </c>
      <c r="AB301" s="206">
        <f>'2021 Detail'!AB290</f>
        <v>658.7</v>
      </c>
      <c r="AC301" s="206">
        <f>'2021 Detail'!AC290</f>
        <v>0</v>
      </c>
      <c r="AJ301" s="23"/>
    </row>
    <row r="302" spans="1:43" x14ac:dyDescent="0.2">
      <c r="Y302" s="4"/>
      <c r="Z302" s="4"/>
      <c r="AJ302" s="23"/>
    </row>
    <row r="303" spans="1:43" x14ac:dyDescent="0.2">
      <c r="A303" s="226" t="str">
        <f t="shared" ref="A303:U303" si="64">A$510</f>
        <v>Diocesan Total 2022</v>
      </c>
      <c r="B303" s="226">
        <f t="shared" si="64"/>
        <v>0</v>
      </c>
      <c r="C303" s="226">
        <f t="shared" si="64"/>
        <v>0</v>
      </c>
      <c r="D303" s="258">
        <f t="shared" si="64"/>
        <v>0</v>
      </c>
      <c r="E303" s="226">
        <f t="shared" si="64"/>
        <v>0</v>
      </c>
      <c r="F303" s="226">
        <f t="shared" si="64"/>
        <v>0</v>
      </c>
      <c r="G303" s="83">
        <f t="shared" si="64"/>
        <v>8116012</v>
      </c>
      <c r="H303" s="83">
        <f t="shared" si="64"/>
        <v>6559276.3399999999</v>
      </c>
      <c r="I303" s="133">
        <f t="shared" si="64"/>
        <v>0.80820000000000003</v>
      </c>
      <c r="J303" s="83">
        <f t="shared" si="64"/>
        <v>378351.23</v>
      </c>
      <c r="K303" s="83">
        <f t="shared" si="64"/>
        <v>449442.02</v>
      </c>
      <c r="L303" s="83">
        <f t="shared" si="64"/>
        <v>517036.34</v>
      </c>
      <c r="M303" s="83">
        <f t="shared" si="64"/>
        <v>434875.54000000004</v>
      </c>
      <c r="N303" s="83">
        <f t="shared" si="64"/>
        <v>497786.23</v>
      </c>
      <c r="O303" s="83">
        <f t="shared" si="64"/>
        <v>599586.94000000006</v>
      </c>
      <c r="P303" s="83">
        <f t="shared" si="64"/>
        <v>498701.35</v>
      </c>
      <c r="Q303" s="83">
        <f t="shared" si="64"/>
        <v>538018.41999999993</v>
      </c>
      <c r="R303" s="83">
        <f t="shared" si="64"/>
        <v>551902.79</v>
      </c>
      <c r="S303" s="4">
        <f t="shared" si="64"/>
        <v>564217.18000000005</v>
      </c>
      <c r="T303" s="4">
        <f t="shared" si="64"/>
        <v>645999.05000000005</v>
      </c>
      <c r="U303" s="4">
        <f t="shared" si="64"/>
        <v>736614.44</v>
      </c>
      <c r="V303" s="77"/>
      <c r="W303" s="82"/>
      <c r="X303" s="4"/>
      <c r="Y303" s="4"/>
      <c r="Z303" s="4"/>
      <c r="AA303" s="83"/>
      <c r="AB303" s="83"/>
      <c r="AC303" s="83"/>
      <c r="AD303" s="4"/>
      <c r="AH303" s="23">
        <f>AH$510</f>
        <v>6587993.7699999996</v>
      </c>
      <c r="AJ303" s="23">
        <f>AJ$510</f>
        <v>-28717.429999999702</v>
      </c>
    </row>
    <row r="304" spans="1:43" x14ac:dyDescent="0.2">
      <c r="A304" s="253" t="str">
        <f t="shared" ref="A304:U304" si="65">A$511</f>
        <v>Diocesan Total 2021</v>
      </c>
      <c r="B304" s="253">
        <f t="shared" si="65"/>
        <v>0</v>
      </c>
      <c r="C304" s="253">
        <f t="shared" si="65"/>
        <v>0</v>
      </c>
      <c r="D304" s="259">
        <f t="shared" si="65"/>
        <v>0</v>
      </c>
      <c r="E304" s="253">
        <f t="shared" si="65"/>
        <v>0</v>
      </c>
      <c r="F304" s="253">
        <f t="shared" si="65"/>
        <v>0</v>
      </c>
      <c r="G304" s="206">
        <f t="shared" si="65"/>
        <v>8132853</v>
      </c>
      <c r="H304" s="206">
        <f t="shared" si="65"/>
        <v>6587993.7700000005</v>
      </c>
      <c r="I304" s="207">
        <f t="shared" si="65"/>
        <v>0.81</v>
      </c>
      <c r="J304" s="206">
        <f t="shared" si="65"/>
        <v>340336.86</v>
      </c>
      <c r="K304" s="206">
        <f t="shared" si="65"/>
        <v>407387.73</v>
      </c>
      <c r="L304" s="206">
        <f t="shared" si="65"/>
        <v>497955.59</v>
      </c>
      <c r="M304" s="206">
        <f t="shared" si="65"/>
        <v>513800.89999999997</v>
      </c>
      <c r="N304" s="206">
        <f t="shared" si="65"/>
        <v>483760.16000000003</v>
      </c>
      <c r="O304" s="206">
        <f t="shared" si="65"/>
        <v>527451.71000000008</v>
      </c>
      <c r="P304" s="206">
        <f t="shared" si="65"/>
        <v>582882.6100000001</v>
      </c>
      <c r="Q304" s="206">
        <f t="shared" si="65"/>
        <v>489302.35</v>
      </c>
      <c r="R304" s="206">
        <f t="shared" si="65"/>
        <v>548459.72</v>
      </c>
      <c r="S304" s="206">
        <f t="shared" si="65"/>
        <v>527708.16999999993</v>
      </c>
      <c r="T304" s="206">
        <f t="shared" si="65"/>
        <v>616975.80999999994</v>
      </c>
      <c r="U304" s="206">
        <f t="shared" si="65"/>
        <v>907302.59</v>
      </c>
      <c r="V304" s="206"/>
      <c r="W304" s="206"/>
      <c r="X304" s="206"/>
      <c r="Y304" s="4"/>
      <c r="Z304" s="4"/>
      <c r="AA304" s="206"/>
      <c r="AB304" s="206"/>
      <c r="AC304" s="206"/>
      <c r="AJ304" s="23"/>
    </row>
    <row r="305" spans="1:43" ht="15.75" x14ac:dyDescent="0.25">
      <c r="G305" s="196" t="s">
        <v>13</v>
      </c>
      <c r="Y305" s="4"/>
      <c r="Z305" s="4"/>
      <c r="AH305" s="171" t="s">
        <v>1136</v>
      </c>
      <c r="AI305" s="172"/>
      <c r="AJ305" s="171" t="s">
        <v>1064</v>
      </c>
    </row>
    <row r="306" spans="1:43" x14ac:dyDescent="0.2">
      <c r="Y306" s="4"/>
      <c r="Z306" s="4"/>
      <c r="AH306" s="171" t="s">
        <v>1137</v>
      </c>
      <c r="AI306" s="172"/>
      <c r="AJ306" s="171" t="s">
        <v>1138</v>
      </c>
    </row>
    <row r="307" spans="1:43" ht="16.5" x14ac:dyDescent="0.25">
      <c r="A307" s="250"/>
      <c r="B307" s="8"/>
      <c r="C307" s="8"/>
      <c r="E307" s="8"/>
      <c r="F307" s="8"/>
      <c r="G307" s="208" t="str">
        <f>$G$3</f>
        <v>2022 PARISH SHARE INFORMATION AS AT 31 DECEMBER 2022</v>
      </c>
      <c r="H307" s="209"/>
      <c r="W307" s="194"/>
      <c r="X307"/>
      <c r="Y307" s="4"/>
      <c r="Z307" s="4"/>
      <c r="AA307"/>
      <c r="AB307"/>
      <c r="AC307"/>
      <c r="AH307" s="172"/>
      <c r="AI307" s="172"/>
      <c r="AJ307" s="171" t="s">
        <v>1139</v>
      </c>
    </row>
    <row r="308" spans="1:43" x14ac:dyDescent="0.2">
      <c r="A308" s="250"/>
      <c r="G308" s="205"/>
      <c r="H308" s="197"/>
      <c r="W308" s="194"/>
      <c r="X308"/>
      <c r="Y308" s="4"/>
      <c r="Z308" s="4"/>
      <c r="AA308"/>
      <c r="AB308"/>
      <c r="AC308"/>
    </row>
    <row r="309" spans="1:43" ht="16.5" x14ac:dyDescent="0.25">
      <c r="A309" s="251" t="s">
        <v>1</v>
      </c>
      <c r="B309" s="151" t="str">
        <f>$B$5</f>
        <v>RM</v>
      </c>
      <c r="C309" s="151" t="str">
        <f>$C$5</f>
        <v>RF</v>
      </c>
      <c r="D309" s="151" t="str">
        <f>$D$5</f>
        <v>Accts</v>
      </c>
      <c r="E309" s="151"/>
      <c r="F309" s="151" t="str">
        <f>$F$5</f>
        <v>Share DD</v>
      </c>
      <c r="G309" s="210" t="str">
        <f>$G$5</f>
        <v xml:space="preserve">2022 Share </v>
      </c>
      <c r="H309" s="211" t="str">
        <f>$H$5</f>
        <v xml:space="preserve">2022 Paid </v>
      </c>
      <c r="I309" s="211" t="str">
        <f>$I$5</f>
        <v xml:space="preserve">% Paid </v>
      </c>
      <c r="J309" s="212">
        <f>$J$5</f>
        <v>44592</v>
      </c>
      <c r="K309" s="212">
        <f>$K$5</f>
        <v>44620</v>
      </c>
      <c r="L309" s="212">
        <f>$L$5</f>
        <v>44651</v>
      </c>
      <c r="M309" s="212">
        <f>$M$5</f>
        <v>44681</v>
      </c>
      <c r="N309" s="212">
        <f>$N$5</f>
        <v>44712</v>
      </c>
      <c r="O309" s="212">
        <f>$O$5</f>
        <v>44742</v>
      </c>
      <c r="P309" s="212">
        <f>$P$5</f>
        <v>44773</v>
      </c>
      <c r="Q309" s="212">
        <f>$Q$5</f>
        <v>44804</v>
      </c>
      <c r="R309" s="212">
        <f>$R$5</f>
        <v>44834</v>
      </c>
      <c r="S309" s="155">
        <f>$S$5</f>
        <v>44865</v>
      </c>
      <c r="T309" s="155">
        <f>$T$5</f>
        <v>44895</v>
      </c>
      <c r="U309" s="155">
        <f>$U$5</f>
        <v>44926</v>
      </c>
      <c r="V309" s="78"/>
      <c r="W309" s="195" t="str">
        <f>$W$5</f>
        <v xml:space="preserve">Outstanding </v>
      </c>
      <c r="X309" s="2"/>
      <c r="Y309" s="4"/>
      <c r="Z309" s="4"/>
      <c r="AA309" s="2">
        <f>$AA$5</f>
        <v>44957</v>
      </c>
      <c r="AB309" s="2">
        <f>$AB$5</f>
        <v>44985</v>
      </c>
      <c r="AC309" s="2">
        <f>$AC$5</f>
        <v>45016</v>
      </c>
      <c r="AE309" s="152" t="str">
        <f>$AE$5</f>
        <v>Benefice</v>
      </c>
      <c r="AH309" s="16" t="s">
        <v>1141</v>
      </c>
      <c r="AJ309" s="170" t="s">
        <v>1140</v>
      </c>
      <c r="AQ309" s="222">
        <f>AQ5</f>
        <v>44588</v>
      </c>
    </row>
    <row r="310" spans="1:43" ht="16.5" x14ac:dyDescent="0.25">
      <c r="A310" s="250"/>
      <c r="G310" s="201" t="s">
        <v>1040</v>
      </c>
      <c r="H310" s="202" t="s">
        <v>1040</v>
      </c>
      <c r="I310" s="203"/>
      <c r="J310" s="202" t="s">
        <v>1040</v>
      </c>
      <c r="K310" s="202" t="s">
        <v>1040</v>
      </c>
      <c r="L310" s="202" t="s">
        <v>1040</v>
      </c>
      <c r="M310" s="202" t="s">
        <v>1040</v>
      </c>
      <c r="N310" s="202" t="s">
        <v>1040</v>
      </c>
      <c r="O310" s="202" t="s">
        <v>1040</v>
      </c>
      <c r="P310" s="202" t="s">
        <v>1040</v>
      </c>
      <c r="Q310" s="202" t="s">
        <v>1040</v>
      </c>
      <c r="R310" s="202" t="s">
        <v>1040</v>
      </c>
      <c r="S310" s="147" t="s">
        <v>1040</v>
      </c>
      <c r="T310" s="147" t="s">
        <v>1040</v>
      </c>
      <c r="U310" s="147" t="s">
        <v>1040</v>
      </c>
      <c r="W310" s="194"/>
      <c r="X310"/>
      <c r="Y310" s="4"/>
      <c r="Z310" s="4"/>
      <c r="AA310"/>
      <c r="AB310"/>
      <c r="AC310"/>
      <c r="AJ310" s="23"/>
    </row>
    <row r="311" spans="1:43" x14ac:dyDescent="0.2">
      <c r="Y311" s="4"/>
      <c r="Z311" s="4"/>
      <c r="AJ311" s="23"/>
    </row>
    <row r="312" spans="1:43" x14ac:dyDescent="0.2">
      <c r="A312" s="226" t="s">
        <v>231</v>
      </c>
      <c r="B312" s="9" t="s">
        <v>495</v>
      </c>
      <c r="C312" s="9" t="s">
        <v>495</v>
      </c>
      <c r="D312" s="9">
        <v>0</v>
      </c>
      <c r="E312" s="9"/>
      <c r="F312" s="9">
        <v>0</v>
      </c>
      <c r="G312" s="83">
        <v>12013</v>
      </c>
      <c r="H312" s="83">
        <f t="shared" ref="H312:H326" si="66">SUM(J312:U312)+SUM(AA312:AC312)</f>
        <v>2000</v>
      </c>
      <c r="I312" s="133">
        <f t="shared" ref="I312:I326" si="67">ROUND((H312/G312),4)</f>
        <v>0.16650000000000001</v>
      </c>
      <c r="J312" s="82"/>
      <c r="K312" s="82"/>
      <c r="L312" s="82"/>
      <c r="M312" s="82"/>
      <c r="N312" s="82"/>
      <c r="O312" s="82"/>
      <c r="P312" s="82">
        <v>1000</v>
      </c>
      <c r="Q312" s="82"/>
      <c r="R312" s="82"/>
      <c r="S312" s="23"/>
      <c r="T312" s="23"/>
      <c r="U312" s="23">
        <v>1000</v>
      </c>
      <c r="V312" s="7" t="s">
        <v>711</v>
      </c>
      <c r="W312" s="82">
        <f t="shared" ref="W312:W326" si="68">G312-H312</f>
        <v>10013</v>
      </c>
      <c r="Y312" s="4"/>
      <c r="Z312" s="4"/>
      <c r="AA312" s="82"/>
      <c r="AB312" s="82"/>
      <c r="AC312" s="82"/>
      <c r="AE312" s="7" t="s">
        <v>455</v>
      </c>
      <c r="AH312" s="23">
        <f>SUM('2021 Detail'!J300:U300)+SUM('2021 Detail'!AA300:AC300)</f>
        <v>3000</v>
      </c>
      <c r="AJ312" s="23">
        <f t="shared" si="59"/>
        <v>-1000</v>
      </c>
      <c r="AL312" t="str">
        <f t="shared" ref="AL312:AL357" si="69">IF(AJ312&lt;0,"Down",IF(AJ312&gt;0,"Up","Same"))</f>
        <v>Down</v>
      </c>
      <c r="AQ312" s="23">
        <v>1500</v>
      </c>
    </row>
    <row r="313" spans="1:43" x14ac:dyDescent="0.2">
      <c r="A313" s="226" t="s">
        <v>232</v>
      </c>
      <c r="B313" s="9" t="s">
        <v>495</v>
      </c>
      <c r="C313" s="9">
        <v>0</v>
      </c>
      <c r="D313" s="9">
        <v>0</v>
      </c>
      <c r="E313" s="9"/>
      <c r="F313" s="9" t="s">
        <v>495</v>
      </c>
      <c r="G313" s="83">
        <v>67160</v>
      </c>
      <c r="H313" s="83">
        <f t="shared" si="66"/>
        <v>54000</v>
      </c>
      <c r="I313" s="133">
        <f t="shared" si="67"/>
        <v>0.80410000000000004</v>
      </c>
      <c r="J313" s="82">
        <v>4500</v>
      </c>
      <c r="K313" s="82">
        <v>4500</v>
      </c>
      <c r="L313" s="82">
        <v>4500</v>
      </c>
      <c r="M313" s="82">
        <v>4500</v>
      </c>
      <c r="N313" s="82">
        <v>4500</v>
      </c>
      <c r="O313" s="82">
        <v>4500</v>
      </c>
      <c r="P313" s="82">
        <v>4500</v>
      </c>
      <c r="Q313" s="82">
        <v>4500</v>
      </c>
      <c r="R313" s="82">
        <v>4500</v>
      </c>
      <c r="S313" s="23">
        <v>4500</v>
      </c>
      <c r="T313" s="23">
        <v>4500</v>
      </c>
      <c r="U313" s="23">
        <v>4500</v>
      </c>
      <c r="V313" s="7" t="s">
        <v>712</v>
      </c>
      <c r="W313" s="82">
        <f t="shared" si="68"/>
        <v>13160</v>
      </c>
      <c r="Y313" s="4"/>
      <c r="Z313" s="4"/>
      <c r="AA313" s="82"/>
      <c r="AB313" s="82"/>
      <c r="AC313" s="82"/>
      <c r="AE313" s="7" t="s">
        <v>452</v>
      </c>
      <c r="AH313" s="23">
        <f>SUM('2021 Detail'!J301:U301)+SUM('2021 Detail'!AA301:AC301)</f>
        <v>67000</v>
      </c>
      <c r="AJ313" s="23">
        <f t="shared" si="59"/>
        <v>-13000</v>
      </c>
      <c r="AL313" t="str">
        <f t="shared" si="69"/>
        <v>Down</v>
      </c>
      <c r="AQ313" s="23">
        <v>21000</v>
      </c>
    </row>
    <row r="314" spans="1:43" x14ac:dyDescent="0.2">
      <c r="A314" s="226" t="s">
        <v>233</v>
      </c>
      <c r="B314" s="9" t="s">
        <v>495</v>
      </c>
      <c r="C314" s="9" t="s">
        <v>495</v>
      </c>
      <c r="D314" s="9">
        <v>0</v>
      </c>
      <c r="E314" s="9"/>
      <c r="F314" s="9" t="s">
        <v>495</v>
      </c>
      <c r="G314" s="83">
        <v>13750</v>
      </c>
      <c r="H314" s="83">
        <f t="shared" si="66"/>
        <v>13750</v>
      </c>
      <c r="I314" s="133">
        <f t="shared" si="67"/>
        <v>1</v>
      </c>
      <c r="J314" s="82">
        <v>1145.8699999999999</v>
      </c>
      <c r="K314" s="82">
        <v>1145.83</v>
      </c>
      <c r="L314" s="82">
        <v>1145.83</v>
      </c>
      <c r="M314" s="82">
        <v>1145.83</v>
      </c>
      <c r="N314" s="82">
        <v>1145.83</v>
      </c>
      <c r="O314" s="82">
        <v>1145.83</v>
      </c>
      <c r="P314" s="82">
        <v>1145.83</v>
      </c>
      <c r="Q314" s="82">
        <v>1145.83</v>
      </c>
      <c r="R314" s="82">
        <v>1145.83</v>
      </c>
      <c r="S314" s="23">
        <v>1145.83</v>
      </c>
      <c r="T314" s="23">
        <v>1145.83</v>
      </c>
      <c r="U314" s="23">
        <v>1145.83</v>
      </c>
      <c r="V314" s="7" t="s">
        <v>713</v>
      </c>
      <c r="W314" s="82">
        <f t="shared" si="68"/>
        <v>0</v>
      </c>
      <c r="Y314" s="4"/>
      <c r="Z314" s="4"/>
      <c r="AA314" s="82"/>
      <c r="AB314" s="82"/>
      <c r="AC314" s="82"/>
      <c r="AE314" s="7" t="s">
        <v>453</v>
      </c>
      <c r="AH314" s="23">
        <f>SUM('2021 Detail'!J302:U302)+SUM('2021 Detail'!AA302:AC302)</f>
        <v>13750</v>
      </c>
      <c r="AJ314" s="23">
        <f t="shared" si="59"/>
        <v>0</v>
      </c>
      <c r="AL314" t="str">
        <f t="shared" si="69"/>
        <v>Same</v>
      </c>
      <c r="AQ314" s="23">
        <v>1145.83</v>
      </c>
    </row>
    <row r="315" spans="1:43" x14ac:dyDescent="0.2">
      <c r="A315" s="226" t="s">
        <v>234</v>
      </c>
      <c r="B315" s="9" t="s">
        <v>495</v>
      </c>
      <c r="C315" s="9" t="s">
        <v>495</v>
      </c>
      <c r="D315" s="9" t="s">
        <v>495</v>
      </c>
      <c r="E315" s="9"/>
      <c r="F315" s="9" t="s">
        <v>495</v>
      </c>
      <c r="G315" s="83">
        <v>9400</v>
      </c>
      <c r="H315" s="83">
        <f t="shared" si="66"/>
        <v>9400</v>
      </c>
      <c r="I315" s="133">
        <f t="shared" si="67"/>
        <v>1</v>
      </c>
      <c r="J315" s="82">
        <v>783.37</v>
      </c>
      <c r="K315" s="82">
        <v>783.33</v>
      </c>
      <c r="L315" s="82">
        <v>783.33</v>
      </c>
      <c r="M315" s="82">
        <v>783.33</v>
      </c>
      <c r="N315" s="82">
        <v>783.33</v>
      </c>
      <c r="O315" s="82">
        <v>783.33</v>
      </c>
      <c r="P315" s="82">
        <v>783.33</v>
      </c>
      <c r="Q315" s="82">
        <v>783.33</v>
      </c>
      <c r="R315" s="82">
        <v>783.33</v>
      </c>
      <c r="S315" s="23">
        <v>783.33</v>
      </c>
      <c r="T315" s="23">
        <v>783.33</v>
      </c>
      <c r="U315" s="23">
        <v>783.33</v>
      </c>
      <c r="V315" s="7" t="s">
        <v>714</v>
      </c>
      <c r="W315" s="82">
        <f t="shared" si="68"/>
        <v>0</v>
      </c>
      <c r="Y315" s="4"/>
      <c r="Z315" s="4"/>
      <c r="AA315" s="82"/>
      <c r="AB315" s="82"/>
      <c r="AC315" s="82"/>
      <c r="AE315" s="7" t="s">
        <v>453</v>
      </c>
      <c r="AH315" s="23">
        <f>SUM('2021 Detail'!J303:U303)+SUM('2021 Detail'!AA303:AC303)</f>
        <v>9400</v>
      </c>
      <c r="AJ315" s="23">
        <f t="shared" si="59"/>
        <v>0</v>
      </c>
      <c r="AL315" t="str">
        <f t="shared" si="69"/>
        <v>Same</v>
      </c>
      <c r="AQ315" s="23">
        <v>783.33</v>
      </c>
    </row>
    <row r="316" spans="1:43" x14ac:dyDescent="0.2">
      <c r="A316" s="226" t="s">
        <v>235</v>
      </c>
      <c r="B316" s="9" t="s">
        <v>495</v>
      </c>
      <c r="C316" s="9">
        <v>0</v>
      </c>
      <c r="D316" s="9" t="s">
        <v>495</v>
      </c>
      <c r="E316" s="9"/>
      <c r="F316" s="9" t="s">
        <v>495</v>
      </c>
      <c r="G316" s="83">
        <v>63734</v>
      </c>
      <c r="H316" s="83">
        <f t="shared" si="66"/>
        <v>30000</v>
      </c>
      <c r="I316" s="133">
        <f t="shared" si="67"/>
        <v>0.47070000000000001</v>
      </c>
      <c r="J316" s="82">
        <v>2500</v>
      </c>
      <c r="K316" s="82">
        <v>2500</v>
      </c>
      <c r="L316" s="82">
        <v>2500</v>
      </c>
      <c r="M316" s="82">
        <v>2500</v>
      </c>
      <c r="N316" s="82">
        <v>2500</v>
      </c>
      <c r="O316" s="82">
        <v>2500</v>
      </c>
      <c r="P316" s="82">
        <v>2500</v>
      </c>
      <c r="Q316" s="82">
        <v>2500</v>
      </c>
      <c r="R316" s="82">
        <v>2500</v>
      </c>
      <c r="S316" s="23">
        <v>2500</v>
      </c>
      <c r="T316" s="23">
        <v>2500</v>
      </c>
      <c r="U316" s="23">
        <v>2500</v>
      </c>
      <c r="V316" s="7" t="s">
        <v>715</v>
      </c>
      <c r="W316" s="82">
        <f t="shared" si="68"/>
        <v>33734</v>
      </c>
      <c r="Y316" s="4"/>
      <c r="Z316" s="4"/>
      <c r="AA316" s="82"/>
      <c r="AB316" s="82"/>
      <c r="AC316" s="82"/>
      <c r="AE316" s="7" t="s">
        <v>454</v>
      </c>
      <c r="AH316" s="23">
        <f>SUM('2021 Detail'!J304:U304)+SUM('2021 Detail'!AA304:AC304)</f>
        <v>47000</v>
      </c>
      <c r="AJ316" s="23">
        <f t="shared" si="59"/>
        <v>-17000</v>
      </c>
      <c r="AL316" t="str">
        <f t="shared" si="69"/>
        <v>Down</v>
      </c>
      <c r="AQ316" s="23">
        <v>2500</v>
      </c>
    </row>
    <row r="317" spans="1:43" x14ac:dyDescent="0.2">
      <c r="A317" s="226" t="s">
        <v>236</v>
      </c>
      <c r="B317" s="9" t="s">
        <v>495</v>
      </c>
      <c r="C317" s="9" t="s">
        <v>495</v>
      </c>
      <c r="D317" s="9" t="s">
        <v>495</v>
      </c>
      <c r="E317" s="9"/>
      <c r="F317" s="9" t="s">
        <v>495</v>
      </c>
      <c r="G317" s="83">
        <v>18504</v>
      </c>
      <c r="H317" s="83">
        <f t="shared" si="66"/>
        <v>18504</v>
      </c>
      <c r="I317" s="133">
        <f t="shared" si="67"/>
        <v>1</v>
      </c>
      <c r="J317" s="82">
        <v>1542</v>
      </c>
      <c r="K317" s="82">
        <v>1542</v>
      </c>
      <c r="L317" s="82">
        <v>1542</v>
      </c>
      <c r="M317" s="82">
        <v>1542</v>
      </c>
      <c r="N317" s="82">
        <v>1542</v>
      </c>
      <c r="O317" s="82">
        <v>1542</v>
      </c>
      <c r="P317" s="82">
        <v>1542</v>
      </c>
      <c r="Q317" s="82">
        <v>1542</v>
      </c>
      <c r="R317" s="82">
        <v>1542</v>
      </c>
      <c r="S317" s="23">
        <v>1542</v>
      </c>
      <c r="T317" s="23">
        <v>1542</v>
      </c>
      <c r="U317" s="23">
        <v>1542</v>
      </c>
      <c r="V317" s="7" t="s">
        <v>716</v>
      </c>
      <c r="W317" s="82">
        <f t="shared" si="68"/>
        <v>0</v>
      </c>
      <c r="Y317" s="4"/>
      <c r="Z317" s="4"/>
      <c r="AA317" s="82"/>
      <c r="AB317" s="82"/>
      <c r="AC317" s="82"/>
      <c r="AE317" s="7" t="s">
        <v>454</v>
      </c>
      <c r="AH317" s="23">
        <f>SUM('2021 Detail'!J305:U305)+SUM('2021 Detail'!AA305:AC305)</f>
        <v>18503.000000000004</v>
      </c>
      <c r="AJ317" s="23">
        <f t="shared" si="59"/>
        <v>0.99999999999636202</v>
      </c>
      <c r="AL317" t="str">
        <f t="shared" si="69"/>
        <v>Up</v>
      </c>
      <c r="AQ317" s="23">
        <v>1541.95</v>
      </c>
    </row>
    <row r="318" spans="1:43" x14ac:dyDescent="0.2">
      <c r="A318" s="226" t="s">
        <v>237</v>
      </c>
      <c r="B318" s="9" t="s">
        <v>495</v>
      </c>
      <c r="C318" s="9" t="s">
        <v>495</v>
      </c>
      <c r="D318" s="9" t="s">
        <v>495</v>
      </c>
      <c r="E318" s="9"/>
      <c r="F318" s="9">
        <v>0</v>
      </c>
      <c r="G318" s="83">
        <v>46691</v>
      </c>
      <c r="H318" s="83">
        <f t="shared" si="66"/>
        <v>22000</v>
      </c>
      <c r="I318" s="133">
        <f t="shared" si="67"/>
        <v>0.47120000000000001</v>
      </c>
      <c r="J318" s="82"/>
      <c r="K318" s="82"/>
      <c r="L318" s="82">
        <v>3000</v>
      </c>
      <c r="M318" s="82"/>
      <c r="N318" s="82">
        <v>5000</v>
      </c>
      <c r="O318" s="82">
        <v>5000</v>
      </c>
      <c r="P318" s="82"/>
      <c r="Q318" s="82"/>
      <c r="R318" s="82">
        <v>5000</v>
      </c>
      <c r="S318" s="23">
        <v>3000</v>
      </c>
      <c r="T318" s="23">
        <v>1000</v>
      </c>
      <c r="U318" s="23"/>
      <c r="V318" s="7" t="s">
        <v>717</v>
      </c>
      <c r="W318" s="82">
        <f t="shared" si="68"/>
        <v>24691</v>
      </c>
      <c r="Y318" s="4"/>
      <c r="Z318" s="4"/>
      <c r="AA318" s="82"/>
      <c r="AB318" s="82"/>
      <c r="AC318" s="82"/>
      <c r="AE318" s="7" t="s">
        <v>453</v>
      </c>
      <c r="AH318" s="23">
        <f>SUM('2021 Detail'!J306:U306)+SUM('2021 Detail'!AA306:AC306)</f>
        <v>26000</v>
      </c>
      <c r="AJ318" s="23">
        <f t="shared" si="59"/>
        <v>-4000</v>
      </c>
      <c r="AL318" t="str">
        <f t="shared" si="69"/>
        <v>Down</v>
      </c>
      <c r="AQ318" s="23">
        <v>4300</v>
      </c>
    </row>
    <row r="319" spans="1:43" x14ac:dyDescent="0.2">
      <c r="A319" s="226" t="s">
        <v>238</v>
      </c>
      <c r="B319" s="9" t="s">
        <v>495</v>
      </c>
      <c r="C319" s="9" t="s">
        <v>495</v>
      </c>
      <c r="D319" s="9" t="s">
        <v>495</v>
      </c>
      <c r="E319" s="9"/>
      <c r="F319" s="9">
        <v>0</v>
      </c>
      <c r="G319" s="83">
        <v>23235</v>
      </c>
      <c r="H319" s="83">
        <f t="shared" si="66"/>
        <v>10000</v>
      </c>
      <c r="I319" s="133">
        <f t="shared" si="67"/>
        <v>0.4304</v>
      </c>
      <c r="J319" s="82"/>
      <c r="K319" s="82"/>
      <c r="L319" s="82"/>
      <c r="M319" s="82"/>
      <c r="N319" s="82"/>
      <c r="O319" s="82"/>
      <c r="P319" s="82"/>
      <c r="Q319" s="82"/>
      <c r="R319" s="82"/>
      <c r="S319" s="23"/>
      <c r="T319" s="23">
        <v>10000</v>
      </c>
      <c r="U319" s="23"/>
      <c r="V319" s="7" t="s">
        <v>718</v>
      </c>
      <c r="W319" s="82">
        <f t="shared" si="68"/>
        <v>13235</v>
      </c>
      <c r="Y319" s="4"/>
      <c r="Z319" s="4"/>
      <c r="AA319" s="82"/>
      <c r="AB319" s="82"/>
      <c r="AC319" s="82"/>
      <c r="AE319" s="7" t="s">
        <v>455</v>
      </c>
      <c r="AH319" s="23">
        <f>SUM('2021 Detail'!J307:U307)+SUM('2021 Detail'!AA307:AC307)</f>
        <v>7000</v>
      </c>
      <c r="AJ319" s="23">
        <f t="shared" si="59"/>
        <v>3000</v>
      </c>
      <c r="AL319" t="str">
        <f t="shared" si="69"/>
        <v>Up</v>
      </c>
    </row>
    <row r="320" spans="1:43" x14ac:dyDescent="0.2">
      <c r="A320" s="226" t="s">
        <v>239</v>
      </c>
      <c r="B320" s="9" t="s">
        <v>495</v>
      </c>
      <c r="C320" s="9" t="s">
        <v>495</v>
      </c>
      <c r="D320" s="9" t="s">
        <v>495</v>
      </c>
      <c r="E320" s="9"/>
      <c r="F320" s="9" t="s">
        <v>495</v>
      </c>
      <c r="G320" s="83">
        <v>82673</v>
      </c>
      <c r="H320" s="83">
        <f t="shared" si="66"/>
        <v>82673.000000000015</v>
      </c>
      <c r="I320" s="133">
        <f t="shared" si="67"/>
        <v>1</v>
      </c>
      <c r="J320" s="82">
        <v>6889.49</v>
      </c>
      <c r="K320" s="82">
        <v>6889.41</v>
      </c>
      <c r="L320" s="82">
        <v>6889.41</v>
      </c>
      <c r="M320" s="82">
        <v>6889.41</v>
      </c>
      <c r="N320" s="82">
        <v>6889.41</v>
      </c>
      <c r="O320" s="82">
        <v>6889.41</v>
      </c>
      <c r="P320" s="82">
        <v>6889.41</v>
      </c>
      <c r="Q320" s="82">
        <v>6889.41</v>
      </c>
      <c r="R320" s="82">
        <v>6889.41</v>
      </c>
      <c r="S320" s="23">
        <v>6889.41</v>
      </c>
      <c r="T320" s="23">
        <v>6889.41</v>
      </c>
      <c r="U320" s="23">
        <v>6889.41</v>
      </c>
      <c r="V320" s="7" t="s">
        <v>719</v>
      </c>
      <c r="W320" s="82">
        <f t="shared" si="68"/>
        <v>0</v>
      </c>
      <c r="Y320" s="4"/>
      <c r="Z320" s="4"/>
      <c r="AA320" s="82"/>
      <c r="AB320" s="82"/>
      <c r="AC320" s="82"/>
      <c r="AE320" s="7" t="s">
        <v>456</v>
      </c>
      <c r="AH320" s="23">
        <f>SUM('2021 Detail'!J308:U308)+SUM('2021 Detail'!AA308:AC308)</f>
        <v>82673.000000000015</v>
      </c>
      <c r="AJ320" s="23">
        <f t="shared" si="59"/>
        <v>0</v>
      </c>
      <c r="AL320" t="str">
        <f t="shared" si="69"/>
        <v>Same</v>
      </c>
      <c r="AQ320" s="23">
        <v>6889.41</v>
      </c>
    </row>
    <row r="321" spans="1:44" x14ac:dyDescent="0.2">
      <c r="A321" s="226" t="s">
        <v>240</v>
      </c>
      <c r="B321" s="9" t="s">
        <v>495</v>
      </c>
      <c r="C321" s="9">
        <v>0</v>
      </c>
      <c r="D321" s="9">
        <v>0</v>
      </c>
      <c r="E321" s="9"/>
      <c r="F321" s="9" t="s">
        <v>495</v>
      </c>
      <c r="G321" s="83">
        <v>70068</v>
      </c>
      <c r="H321" s="83">
        <f t="shared" si="66"/>
        <v>70068</v>
      </c>
      <c r="I321" s="133">
        <f t="shared" si="67"/>
        <v>1</v>
      </c>
      <c r="J321" s="82">
        <v>5839</v>
      </c>
      <c r="K321" s="82">
        <v>5839</v>
      </c>
      <c r="L321" s="82">
        <v>5839</v>
      </c>
      <c r="M321" s="82">
        <v>5839</v>
      </c>
      <c r="N321" s="82">
        <v>5839</v>
      </c>
      <c r="O321" s="82">
        <v>5839</v>
      </c>
      <c r="P321" s="82">
        <v>5839</v>
      </c>
      <c r="Q321" s="82">
        <v>5839</v>
      </c>
      <c r="R321" s="82">
        <v>5839</v>
      </c>
      <c r="S321" s="23">
        <v>5839</v>
      </c>
      <c r="T321" s="23">
        <v>5839</v>
      </c>
      <c r="U321" s="23">
        <v>5839</v>
      </c>
      <c r="V321" s="7" t="s">
        <v>720</v>
      </c>
      <c r="W321" s="82">
        <f t="shared" si="68"/>
        <v>0</v>
      </c>
      <c r="Y321" s="4"/>
      <c r="Z321" s="4"/>
      <c r="AA321" s="82"/>
      <c r="AB321" s="82"/>
      <c r="AC321" s="82"/>
      <c r="AE321" s="7" t="s">
        <v>458</v>
      </c>
      <c r="AH321" s="23">
        <f>SUM('2021 Detail'!J309:U309)+SUM('2021 Detail'!AA309:AC309)</f>
        <v>70068</v>
      </c>
      <c r="AJ321" s="23">
        <f t="shared" si="59"/>
        <v>0</v>
      </c>
      <c r="AL321" t="str">
        <f t="shared" si="69"/>
        <v>Same</v>
      </c>
      <c r="AQ321" s="23">
        <v>5839</v>
      </c>
    </row>
    <row r="322" spans="1:44" x14ac:dyDescent="0.2">
      <c r="A322" s="226" t="s">
        <v>241</v>
      </c>
      <c r="B322" s="9" t="s">
        <v>495</v>
      </c>
      <c r="C322" s="9" t="s">
        <v>495</v>
      </c>
      <c r="D322" s="9">
        <v>0</v>
      </c>
      <c r="E322" s="9"/>
      <c r="F322" s="9">
        <v>0</v>
      </c>
      <c r="G322" s="83">
        <v>6442</v>
      </c>
      <c r="H322" s="83">
        <f t="shared" si="66"/>
        <v>6447</v>
      </c>
      <c r="I322" s="133">
        <f t="shared" si="67"/>
        <v>1.0007999999999999</v>
      </c>
      <c r="J322" s="82">
        <v>537.25</v>
      </c>
      <c r="K322" s="82">
        <v>537.25</v>
      </c>
      <c r="L322" s="82">
        <v>537.25</v>
      </c>
      <c r="M322" s="82">
        <v>537.25</v>
      </c>
      <c r="N322" s="82">
        <v>537.25</v>
      </c>
      <c r="O322" s="82">
        <v>537.25</v>
      </c>
      <c r="P322" s="82">
        <v>537.25</v>
      </c>
      <c r="Q322" s="82">
        <v>537.25</v>
      </c>
      <c r="R322" s="82">
        <v>537.25</v>
      </c>
      <c r="S322" s="23">
        <v>537.25</v>
      </c>
      <c r="T322" s="23">
        <v>537.25</v>
      </c>
      <c r="U322" s="23">
        <v>537.25</v>
      </c>
      <c r="V322" s="7" t="s">
        <v>721</v>
      </c>
      <c r="W322" s="82">
        <f t="shared" si="68"/>
        <v>-5</v>
      </c>
      <c r="Y322" s="4"/>
      <c r="Z322" s="4"/>
      <c r="AA322" s="82"/>
      <c r="AB322" s="82"/>
      <c r="AC322" s="82"/>
      <c r="AE322" s="7" t="s">
        <v>456</v>
      </c>
      <c r="AH322" s="23">
        <f>SUM('2021 Detail'!J310:U310)+SUM('2021 Detail'!AA310:AC310)</f>
        <v>6442</v>
      </c>
      <c r="AJ322" s="23">
        <f t="shared" si="59"/>
        <v>5</v>
      </c>
      <c r="AL322" t="str">
        <f t="shared" si="69"/>
        <v>Up</v>
      </c>
      <c r="AQ322" s="23">
        <v>536.83000000000004</v>
      </c>
      <c r="AR322">
        <v>-536.83000000000004</v>
      </c>
    </row>
    <row r="323" spans="1:44" x14ac:dyDescent="0.2">
      <c r="A323" s="226" t="s">
        <v>242</v>
      </c>
      <c r="B323" s="9" t="s">
        <v>495</v>
      </c>
      <c r="C323" s="9" t="s">
        <v>495</v>
      </c>
      <c r="D323" s="9">
        <v>0</v>
      </c>
      <c r="E323" s="9"/>
      <c r="F323" s="9" t="s">
        <v>495</v>
      </c>
      <c r="G323" s="83">
        <v>17823</v>
      </c>
      <c r="H323" s="83">
        <f t="shared" si="66"/>
        <v>12650</v>
      </c>
      <c r="I323" s="133">
        <f t="shared" si="67"/>
        <v>0.70979999999999999</v>
      </c>
      <c r="J323" s="82">
        <v>300</v>
      </c>
      <c r="K323" s="82">
        <v>300</v>
      </c>
      <c r="L323" s="82">
        <v>300</v>
      </c>
      <c r="M323" s="82">
        <v>300</v>
      </c>
      <c r="N323" s="82">
        <v>300</v>
      </c>
      <c r="O323" s="82">
        <v>300</v>
      </c>
      <c r="P323" s="82">
        <v>300</v>
      </c>
      <c r="Q323" s="82">
        <v>1800</v>
      </c>
      <c r="R323" s="82">
        <v>300</v>
      </c>
      <c r="S323" s="23">
        <v>300</v>
      </c>
      <c r="T323" s="23">
        <v>300</v>
      </c>
      <c r="U323" s="23">
        <v>7850</v>
      </c>
      <c r="V323" s="7" t="s">
        <v>722</v>
      </c>
      <c r="W323" s="82">
        <f t="shared" si="68"/>
        <v>5173</v>
      </c>
      <c r="Y323" s="4"/>
      <c r="Z323" s="4"/>
      <c r="AA323" s="82"/>
      <c r="AB323" s="82"/>
      <c r="AC323" s="82"/>
      <c r="AE323" s="7" t="s">
        <v>455</v>
      </c>
      <c r="AH323" s="23">
        <f>SUM('2021 Detail'!J311:U311)+SUM('2021 Detail'!AA311:AC311)</f>
        <v>11500</v>
      </c>
      <c r="AJ323" s="23">
        <f t="shared" si="59"/>
        <v>1150</v>
      </c>
      <c r="AL323" t="str">
        <f t="shared" si="69"/>
        <v>Up</v>
      </c>
      <c r="AQ323" s="23">
        <v>3300</v>
      </c>
    </row>
    <row r="324" spans="1:44" x14ac:dyDescent="0.2">
      <c r="A324" s="226" t="s">
        <v>243</v>
      </c>
      <c r="B324" s="9" t="s">
        <v>495</v>
      </c>
      <c r="C324" s="9" t="s">
        <v>495</v>
      </c>
      <c r="D324" s="9">
        <v>0</v>
      </c>
      <c r="E324" s="9"/>
      <c r="F324" s="9">
        <v>0</v>
      </c>
      <c r="G324" s="83">
        <v>14695</v>
      </c>
      <c r="H324" s="83">
        <f t="shared" si="66"/>
        <v>14695</v>
      </c>
      <c r="I324" s="133">
        <f t="shared" si="67"/>
        <v>1</v>
      </c>
      <c r="J324" s="82"/>
      <c r="K324" s="82"/>
      <c r="L324" s="82"/>
      <c r="M324" s="82"/>
      <c r="N324" s="82"/>
      <c r="O324" s="82"/>
      <c r="P324" s="82"/>
      <c r="Q324" s="82"/>
      <c r="R324" s="82"/>
      <c r="S324" s="23"/>
      <c r="T324" s="23"/>
      <c r="U324" s="23"/>
      <c r="V324" s="7" t="s">
        <v>723</v>
      </c>
      <c r="W324" s="82">
        <f t="shared" si="68"/>
        <v>0</v>
      </c>
      <c r="Y324" s="4"/>
      <c r="Z324" s="4"/>
      <c r="AA324" s="82">
        <v>14695</v>
      </c>
      <c r="AB324" s="82"/>
      <c r="AC324" s="82"/>
      <c r="AE324" s="7" t="s">
        <v>455</v>
      </c>
      <c r="AH324" s="23">
        <f>SUM('2021 Detail'!J312:U312)+SUM('2021 Detail'!AA312:AC312)</f>
        <v>14695</v>
      </c>
      <c r="AJ324" s="23">
        <f t="shared" si="59"/>
        <v>0</v>
      </c>
      <c r="AL324" t="str">
        <f t="shared" si="69"/>
        <v>Same</v>
      </c>
    </row>
    <row r="325" spans="1:44" x14ac:dyDescent="0.2">
      <c r="A325" s="226" t="s">
        <v>244</v>
      </c>
      <c r="B325" s="9" t="s">
        <v>495</v>
      </c>
      <c r="C325" s="9" t="s">
        <v>495</v>
      </c>
      <c r="D325" s="9" t="s">
        <v>495</v>
      </c>
      <c r="E325" s="9"/>
      <c r="F325" s="9">
        <v>0</v>
      </c>
      <c r="G325" s="83">
        <v>13200</v>
      </c>
      <c r="H325" s="83">
        <f t="shared" si="66"/>
        <v>13200</v>
      </c>
      <c r="I325" s="133">
        <f t="shared" si="67"/>
        <v>1</v>
      </c>
      <c r="J325" s="82"/>
      <c r="K325" s="82"/>
      <c r="L325" s="82"/>
      <c r="M325" s="82"/>
      <c r="N325" s="82"/>
      <c r="O325" s="82">
        <v>6600</v>
      </c>
      <c r="P325" s="82"/>
      <c r="Q325" s="82">
        <v>6600</v>
      </c>
      <c r="R325" s="82"/>
      <c r="S325" s="23"/>
      <c r="T325" s="23"/>
      <c r="U325" s="23"/>
      <c r="V325" s="7" t="s">
        <v>724</v>
      </c>
      <c r="W325" s="82">
        <f t="shared" si="68"/>
        <v>0</v>
      </c>
      <c r="Y325" s="4"/>
      <c r="Z325" s="4"/>
      <c r="AA325" s="82"/>
      <c r="AB325" s="82"/>
      <c r="AC325" s="82"/>
      <c r="AE325" s="7" t="s">
        <v>453</v>
      </c>
      <c r="AH325" s="23">
        <f>SUM('2021 Detail'!J313:U313)+SUM('2021 Detail'!AA313:AC313)</f>
        <v>13200</v>
      </c>
      <c r="AJ325" s="23">
        <f t="shared" si="59"/>
        <v>0</v>
      </c>
      <c r="AL325" t="str">
        <f t="shared" si="69"/>
        <v>Same</v>
      </c>
      <c r="AQ325" s="23">
        <v>6000</v>
      </c>
    </row>
    <row r="326" spans="1:44" x14ac:dyDescent="0.2">
      <c r="A326" s="226" t="s">
        <v>245</v>
      </c>
      <c r="B326" s="9" t="s">
        <v>495</v>
      </c>
      <c r="C326" s="9" t="s">
        <v>495</v>
      </c>
      <c r="D326" s="9" t="s">
        <v>495</v>
      </c>
      <c r="E326" s="9"/>
      <c r="F326" s="9">
        <v>0</v>
      </c>
      <c r="G326" s="83">
        <v>59145</v>
      </c>
      <c r="H326" s="83">
        <f t="shared" si="66"/>
        <v>59145</v>
      </c>
      <c r="I326" s="133">
        <f t="shared" si="67"/>
        <v>1</v>
      </c>
      <c r="J326" s="82">
        <v>2000</v>
      </c>
      <c r="K326" s="82">
        <v>2000</v>
      </c>
      <c r="L326" s="82">
        <v>5000</v>
      </c>
      <c r="M326" s="82">
        <v>2000</v>
      </c>
      <c r="N326" s="82">
        <v>2000</v>
      </c>
      <c r="O326" s="82">
        <v>2000</v>
      </c>
      <c r="P326" s="82">
        <v>2000</v>
      </c>
      <c r="Q326" s="82">
        <v>5000</v>
      </c>
      <c r="R326" s="82">
        <v>2000</v>
      </c>
      <c r="S326" s="23">
        <v>2000</v>
      </c>
      <c r="T326" s="23">
        <v>5000</v>
      </c>
      <c r="U326" s="23">
        <v>9145</v>
      </c>
      <c r="V326" s="7" t="s">
        <v>725</v>
      </c>
      <c r="W326" s="82">
        <f t="shared" si="68"/>
        <v>0</v>
      </c>
      <c r="Y326" s="4"/>
      <c r="Z326" s="4"/>
      <c r="AA326" s="82">
        <v>19000</v>
      </c>
      <c r="AB326" s="82"/>
      <c r="AC326" s="82"/>
      <c r="AE326" s="7" t="s">
        <v>457</v>
      </c>
      <c r="AH326" s="23">
        <f>SUM('2021 Detail'!J314:U314)+SUM('2021 Detail'!AA314:AC314)</f>
        <v>59145</v>
      </c>
      <c r="AJ326" s="23">
        <f t="shared" si="59"/>
        <v>0</v>
      </c>
      <c r="AL326" t="str">
        <f t="shared" si="69"/>
        <v>Same</v>
      </c>
      <c r="AQ326" s="23">
        <v>28805</v>
      </c>
    </row>
    <row r="327" spans="1:44" x14ac:dyDescent="0.2">
      <c r="G327" s="83"/>
      <c r="H327" s="83"/>
      <c r="I327" s="133"/>
      <c r="Y327" s="4"/>
      <c r="Z327" s="4"/>
      <c r="AJ327" s="23"/>
    </row>
    <row r="328" spans="1:44" x14ac:dyDescent="0.2">
      <c r="A328" s="226" t="s">
        <v>1142</v>
      </c>
      <c r="G328" s="83">
        <f>SUM(G312:G327)</f>
        <v>518533</v>
      </c>
      <c r="H328" s="83">
        <f>SUM(H312:H327)</f>
        <v>418532</v>
      </c>
      <c r="I328" s="133">
        <f t="shared" ref="I328:I329" si="70">ROUND((H328/G328),4)</f>
        <v>0.80710000000000004</v>
      </c>
      <c r="J328" s="83">
        <f>SUM(J312:J327)</f>
        <v>26036.98</v>
      </c>
      <c r="K328" s="83">
        <f t="shared" ref="K328:W328" si="71">SUM(K312:K327)</f>
        <v>26036.82</v>
      </c>
      <c r="L328" s="83">
        <f t="shared" si="71"/>
        <v>32036.82</v>
      </c>
      <c r="M328" s="83">
        <f t="shared" si="71"/>
        <v>26036.82</v>
      </c>
      <c r="N328" s="83">
        <f t="shared" si="71"/>
        <v>31036.82</v>
      </c>
      <c r="O328" s="83">
        <f t="shared" si="71"/>
        <v>37636.82</v>
      </c>
      <c r="P328" s="83">
        <f t="shared" si="71"/>
        <v>27036.82</v>
      </c>
      <c r="Q328" s="83">
        <f t="shared" si="71"/>
        <v>37136.82</v>
      </c>
      <c r="R328" s="83">
        <f t="shared" si="71"/>
        <v>31036.82</v>
      </c>
      <c r="S328" s="4">
        <f t="shared" si="71"/>
        <v>29036.82</v>
      </c>
      <c r="T328" s="4">
        <f t="shared" si="71"/>
        <v>40036.82</v>
      </c>
      <c r="U328" s="4">
        <f t="shared" si="71"/>
        <v>41731.82</v>
      </c>
      <c r="V328" s="77"/>
      <c r="W328" s="82">
        <f t="shared" si="71"/>
        <v>100001</v>
      </c>
      <c r="Y328" s="4"/>
      <c r="Z328" s="4"/>
      <c r="AA328" s="83">
        <f t="shared" ref="AA328:AC328" si="72">SUM(AA312:AA327)</f>
        <v>33695</v>
      </c>
      <c r="AB328" s="83">
        <f t="shared" si="72"/>
        <v>0</v>
      </c>
      <c r="AC328" s="83">
        <f t="shared" si="72"/>
        <v>0</v>
      </c>
      <c r="AD328" s="4"/>
      <c r="AH328" s="23">
        <f>SUM(AH312:AH327)</f>
        <v>449376</v>
      </c>
      <c r="AJ328" s="23">
        <f t="shared" si="59"/>
        <v>-30844</v>
      </c>
      <c r="AM328" s="11">
        <f>SUM(J328:R328)+SUM(S329:U329)+SUM('2020 detail'!AA315:AC315)</f>
        <v>433780.59000000008</v>
      </c>
      <c r="AN328" s="24">
        <f>ROUND((AM328/G328),4)</f>
        <v>0.83660000000000001</v>
      </c>
      <c r="AO328" s="24">
        <f>ROUND((SUM(J329:U329)/G329),4)</f>
        <v>0.82050000000000001</v>
      </c>
      <c r="AQ328" s="23">
        <f>SUM(AQ312:AQ327)</f>
        <v>84141.35</v>
      </c>
      <c r="AR328">
        <v>-536.83000000000004</v>
      </c>
    </row>
    <row r="329" spans="1:44" x14ac:dyDescent="0.2">
      <c r="A329" s="253" t="s">
        <v>1056</v>
      </c>
      <c r="G329" s="206">
        <f>'2021 Detail'!G316</f>
        <v>518541</v>
      </c>
      <c r="H329" s="206">
        <f>SUM(J329:U329)+SUM(AA329:AC329)</f>
        <v>449376</v>
      </c>
      <c r="I329" s="207">
        <f t="shared" si="70"/>
        <v>0.86660000000000004</v>
      </c>
      <c r="J329" s="206">
        <f>'2021 Detail'!J316</f>
        <v>25999.199999999997</v>
      </c>
      <c r="K329" s="206">
        <f>'2021 Detail'!K316</f>
        <v>27073.3</v>
      </c>
      <c r="L329" s="206">
        <f>'2021 Detail'!L316</f>
        <v>27236.350000000002</v>
      </c>
      <c r="M329" s="206">
        <f>'2021 Detail'!M316</f>
        <v>25036.350000000002</v>
      </c>
      <c r="N329" s="206">
        <f>'2021 Detail'!N316</f>
        <v>25036.350000000002</v>
      </c>
      <c r="O329" s="206">
        <f>'2021 Detail'!O316</f>
        <v>45236.350000000006</v>
      </c>
      <c r="P329" s="206">
        <f>'2021 Detail'!P316</f>
        <v>25036.350000000002</v>
      </c>
      <c r="Q329" s="206">
        <f>'2021 Detail'!Q316</f>
        <v>29536.350000000002</v>
      </c>
      <c r="R329" s="206">
        <f>'2021 Detail'!R316</f>
        <v>35536.350000000006</v>
      </c>
      <c r="S329" s="206">
        <f>'2021 Detail'!S316</f>
        <v>29876.350000000002</v>
      </c>
      <c r="T329" s="206">
        <f>'2021 Detail'!T316</f>
        <v>45731.350000000006</v>
      </c>
      <c r="U329" s="206">
        <f>'2021 Detail'!U316</f>
        <v>84141.35</v>
      </c>
      <c r="V329" s="206"/>
      <c r="W329" s="206"/>
      <c r="X329" s="206"/>
      <c r="Y329" s="4"/>
      <c r="Z329" s="4"/>
      <c r="AA329" s="206">
        <f>'2021 Detail'!AA316</f>
        <v>5400</v>
      </c>
      <c r="AB329" s="206">
        <f>'2021 Detail'!AB316</f>
        <v>18500</v>
      </c>
      <c r="AC329" s="206">
        <f>'2021 Detail'!AC316</f>
        <v>0</v>
      </c>
      <c r="AJ329" s="23"/>
    </row>
    <row r="330" spans="1:44" x14ac:dyDescent="0.2">
      <c r="Y330" s="4"/>
      <c r="Z330" s="4"/>
      <c r="AJ330" s="23"/>
    </row>
    <row r="331" spans="1:44" x14ac:dyDescent="0.2">
      <c r="A331" s="226" t="str">
        <f t="shared" ref="A331:U331" si="73">A$510</f>
        <v>Diocesan Total 2022</v>
      </c>
      <c r="B331" s="226">
        <f t="shared" si="73"/>
        <v>0</v>
      </c>
      <c r="C331" s="226">
        <f t="shared" si="73"/>
        <v>0</v>
      </c>
      <c r="D331" s="258">
        <f t="shared" si="73"/>
        <v>0</v>
      </c>
      <c r="E331" s="226">
        <f t="shared" si="73"/>
        <v>0</v>
      </c>
      <c r="F331" s="226">
        <f t="shared" si="73"/>
        <v>0</v>
      </c>
      <c r="G331" s="83">
        <f t="shared" si="73"/>
        <v>8116012</v>
      </c>
      <c r="H331" s="83">
        <f t="shared" si="73"/>
        <v>6559276.3399999999</v>
      </c>
      <c r="I331" s="133">
        <f t="shared" si="73"/>
        <v>0.80820000000000003</v>
      </c>
      <c r="J331" s="83">
        <f t="shared" si="73"/>
        <v>378351.23</v>
      </c>
      <c r="K331" s="83">
        <f t="shared" si="73"/>
        <v>449442.02</v>
      </c>
      <c r="L331" s="83">
        <f t="shared" si="73"/>
        <v>517036.34</v>
      </c>
      <c r="M331" s="83">
        <f t="shared" si="73"/>
        <v>434875.54000000004</v>
      </c>
      <c r="N331" s="83">
        <f t="shared" si="73"/>
        <v>497786.23</v>
      </c>
      <c r="O331" s="83">
        <f t="shared" si="73"/>
        <v>599586.94000000006</v>
      </c>
      <c r="P331" s="83">
        <f t="shared" si="73"/>
        <v>498701.35</v>
      </c>
      <c r="Q331" s="83">
        <f t="shared" si="73"/>
        <v>538018.41999999993</v>
      </c>
      <c r="R331" s="83">
        <f t="shared" si="73"/>
        <v>551902.79</v>
      </c>
      <c r="S331" s="4">
        <f t="shared" si="73"/>
        <v>564217.18000000005</v>
      </c>
      <c r="T331" s="4">
        <f t="shared" si="73"/>
        <v>645999.05000000005</v>
      </c>
      <c r="U331" s="4">
        <f t="shared" si="73"/>
        <v>736614.44</v>
      </c>
      <c r="V331" s="77"/>
      <c r="W331" s="82"/>
      <c r="X331" s="4"/>
      <c r="Y331" s="4"/>
      <c r="Z331" s="4"/>
      <c r="AA331" s="83"/>
      <c r="AB331" s="83"/>
      <c r="AC331" s="83"/>
      <c r="AD331" s="4"/>
      <c r="AH331" s="23">
        <f>AH$510</f>
        <v>6587993.7699999996</v>
      </c>
      <c r="AJ331" s="23">
        <f>AJ$510</f>
        <v>-28717.429999999702</v>
      </c>
    </row>
    <row r="332" spans="1:44" x14ac:dyDescent="0.2">
      <c r="A332" s="253" t="str">
        <f t="shared" ref="A332:U332" si="74">A$511</f>
        <v>Diocesan Total 2021</v>
      </c>
      <c r="B332" s="253">
        <f t="shared" si="74"/>
        <v>0</v>
      </c>
      <c r="C332" s="253">
        <f t="shared" si="74"/>
        <v>0</v>
      </c>
      <c r="D332" s="259">
        <f t="shared" si="74"/>
        <v>0</v>
      </c>
      <c r="E332" s="253">
        <f t="shared" si="74"/>
        <v>0</v>
      </c>
      <c r="F332" s="253">
        <f t="shared" si="74"/>
        <v>0</v>
      </c>
      <c r="G332" s="206">
        <f t="shared" si="74"/>
        <v>8132853</v>
      </c>
      <c r="H332" s="206">
        <f>SUM(J332:U332)+SUM(AA332:AC332)</f>
        <v>6443324.1999999993</v>
      </c>
      <c r="I332" s="207">
        <f t="shared" si="74"/>
        <v>0.81</v>
      </c>
      <c r="J332" s="206">
        <f t="shared" si="74"/>
        <v>340336.86</v>
      </c>
      <c r="K332" s="206">
        <f t="shared" si="74"/>
        <v>407387.73</v>
      </c>
      <c r="L332" s="206">
        <f t="shared" si="74"/>
        <v>497955.59</v>
      </c>
      <c r="M332" s="206">
        <f t="shared" si="74"/>
        <v>513800.89999999997</v>
      </c>
      <c r="N332" s="206">
        <f t="shared" si="74"/>
        <v>483760.16000000003</v>
      </c>
      <c r="O332" s="206">
        <f t="shared" si="74"/>
        <v>527451.71000000008</v>
      </c>
      <c r="P332" s="206">
        <f t="shared" si="74"/>
        <v>582882.6100000001</v>
      </c>
      <c r="Q332" s="206">
        <f t="shared" si="74"/>
        <v>489302.35</v>
      </c>
      <c r="R332" s="206">
        <f t="shared" si="74"/>
        <v>548459.72</v>
      </c>
      <c r="S332" s="206">
        <f t="shared" si="74"/>
        <v>527708.16999999993</v>
      </c>
      <c r="T332" s="206">
        <f t="shared" si="74"/>
        <v>616975.80999999994</v>
      </c>
      <c r="U332" s="206">
        <f t="shared" si="74"/>
        <v>907302.59</v>
      </c>
      <c r="V332" s="206"/>
      <c r="W332" s="206"/>
      <c r="X332" s="206"/>
      <c r="Y332" s="4"/>
      <c r="Z332" s="4"/>
      <c r="AA332" s="206"/>
      <c r="AB332" s="206"/>
      <c r="AC332" s="206"/>
      <c r="AJ332" s="23"/>
    </row>
    <row r="333" spans="1:44" ht="15.75" x14ac:dyDescent="0.25">
      <c r="G333" s="196" t="s">
        <v>14</v>
      </c>
      <c r="Y333" s="4"/>
      <c r="Z333" s="4"/>
      <c r="AH333" s="171" t="s">
        <v>1136</v>
      </c>
      <c r="AI333" s="172"/>
      <c r="AJ333" s="171" t="s">
        <v>1064</v>
      </c>
    </row>
    <row r="334" spans="1:44" x14ac:dyDescent="0.2">
      <c r="Y334" s="4"/>
      <c r="Z334" s="4"/>
      <c r="AH334" s="171" t="s">
        <v>1137</v>
      </c>
      <c r="AI334" s="172"/>
      <c r="AJ334" s="171" t="s">
        <v>1138</v>
      </c>
    </row>
    <row r="335" spans="1:44" ht="16.5" x14ac:dyDescent="0.25">
      <c r="A335" s="250"/>
      <c r="B335" s="8"/>
      <c r="C335" s="8"/>
      <c r="E335" s="8"/>
      <c r="F335" s="8"/>
      <c r="G335" s="208" t="str">
        <f>$G$3</f>
        <v>2022 PARISH SHARE INFORMATION AS AT 31 DECEMBER 2022</v>
      </c>
      <c r="H335" s="209"/>
      <c r="W335" s="194"/>
      <c r="X335"/>
      <c r="Y335" s="4"/>
      <c r="Z335" s="4"/>
      <c r="AA335"/>
      <c r="AB335"/>
      <c r="AC335"/>
      <c r="AH335" s="172"/>
      <c r="AI335" s="172"/>
      <c r="AJ335" s="171" t="s">
        <v>1139</v>
      </c>
    </row>
    <row r="336" spans="1:44" x14ac:dyDescent="0.2">
      <c r="A336" s="250"/>
      <c r="G336" s="205"/>
      <c r="H336" s="197"/>
      <c r="W336" s="194"/>
      <c r="X336"/>
      <c r="Y336" s="4"/>
      <c r="Z336" s="4"/>
      <c r="AA336"/>
      <c r="AB336"/>
      <c r="AC336"/>
    </row>
    <row r="337" spans="1:43" ht="16.5" x14ac:dyDescent="0.25">
      <c r="A337" s="251" t="s">
        <v>1</v>
      </c>
      <c r="B337" s="151" t="str">
        <f>$B$5</f>
        <v>RM</v>
      </c>
      <c r="C337" s="151" t="str">
        <f>$C$5</f>
        <v>RF</v>
      </c>
      <c r="D337" s="151" t="str">
        <f>$D$5</f>
        <v>Accts</v>
      </c>
      <c r="E337" s="151"/>
      <c r="F337" s="151" t="str">
        <f>$F$5</f>
        <v>Share DD</v>
      </c>
      <c r="G337" s="210" t="str">
        <f>$G$5</f>
        <v xml:space="preserve">2022 Share </v>
      </c>
      <c r="H337" s="211" t="str">
        <f>$H$5</f>
        <v xml:space="preserve">2022 Paid </v>
      </c>
      <c r="I337" s="211" t="str">
        <f>$I$5</f>
        <v xml:space="preserve">% Paid </v>
      </c>
      <c r="J337" s="212">
        <f>$J$5</f>
        <v>44592</v>
      </c>
      <c r="K337" s="212">
        <f>$K$5</f>
        <v>44620</v>
      </c>
      <c r="L337" s="212">
        <f>$L$5</f>
        <v>44651</v>
      </c>
      <c r="M337" s="212">
        <f>$M$5</f>
        <v>44681</v>
      </c>
      <c r="N337" s="212">
        <f>$N$5</f>
        <v>44712</v>
      </c>
      <c r="O337" s="212">
        <f>$O$5</f>
        <v>44742</v>
      </c>
      <c r="P337" s="212">
        <f>$P$5</f>
        <v>44773</v>
      </c>
      <c r="Q337" s="212">
        <f>$Q$5</f>
        <v>44804</v>
      </c>
      <c r="R337" s="212">
        <f>$R$5</f>
        <v>44834</v>
      </c>
      <c r="S337" s="155">
        <f>$S$5</f>
        <v>44865</v>
      </c>
      <c r="T337" s="155">
        <f>$T$5</f>
        <v>44895</v>
      </c>
      <c r="U337" s="155">
        <f>$U$5</f>
        <v>44926</v>
      </c>
      <c r="V337" s="78"/>
      <c r="W337" s="195" t="str">
        <f>$W$5</f>
        <v xml:space="preserve">Outstanding </v>
      </c>
      <c r="X337" s="2"/>
      <c r="Y337" s="4"/>
      <c r="Z337" s="4"/>
      <c r="AA337" s="2">
        <f>$AA$5</f>
        <v>44957</v>
      </c>
      <c r="AB337" s="2">
        <f>$AB$5</f>
        <v>44985</v>
      </c>
      <c r="AC337" s="2">
        <f>$AC$5</f>
        <v>45016</v>
      </c>
      <c r="AE337" s="152" t="str">
        <f>$AE$5</f>
        <v>Benefice</v>
      </c>
      <c r="AH337" s="16" t="s">
        <v>1141</v>
      </c>
      <c r="AJ337" s="170" t="s">
        <v>1140</v>
      </c>
      <c r="AQ337" s="222">
        <f>AQ5</f>
        <v>44588</v>
      </c>
    </row>
    <row r="338" spans="1:43" ht="16.5" x14ac:dyDescent="0.25">
      <c r="A338" s="250"/>
      <c r="G338" s="201" t="s">
        <v>1040</v>
      </c>
      <c r="H338" s="202" t="s">
        <v>1040</v>
      </c>
      <c r="I338" s="203"/>
      <c r="J338" s="202" t="s">
        <v>1040</v>
      </c>
      <c r="K338" s="202" t="s">
        <v>1040</v>
      </c>
      <c r="L338" s="202" t="s">
        <v>1040</v>
      </c>
      <c r="M338" s="202" t="s">
        <v>1040</v>
      </c>
      <c r="N338" s="202" t="s">
        <v>1040</v>
      </c>
      <c r="O338" s="202" t="s">
        <v>1040</v>
      </c>
      <c r="P338" s="202" t="s">
        <v>1040</v>
      </c>
      <c r="Q338" s="202" t="s">
        <v>1040</v>
      </c>
      <c r="R338" s="202" t="s">
        <v>1040</v>
      </c>
      <c r="S338" s="147" t="s">
        <v>1040</v>
      </c>
      <c r="T338" s="147" t="s">
        <v>1040</v>
      </c>
      <c r="U338" s="147" t="s">
        <v>1040</v>
      </c>
      <c r="W338" s="194"/>
      <c r="X338"/>
      <c r="Y338" s="4"/>
      <c r="Z338" s="4"/>
      <c r="AA338"/>
      <c r="AB338"/>
      <c r="AC338"/>
      <c r="AJ338" s="23"/>
    </row>
    <row r="339" spans="1:43" x14ac:dyDescent="0.2">
      <c r="Y339" s="4"/>
      <c r="Z339" s="4"/>
      <c r="AJ339" s="23"/>
    </row>
    <row r="340" spans="1:43" x14ac:dyDescent="0.2">
      <c r="A340" s="226" t="s">
        <v>246</v>
      </c>
      <c r="B340" s="9" t="s">
        <v>495</v>
      </c>
      <c r="C340" s="9" t="s">
        <v>495</v>
      </c>
      <c r="D340" s="9">
        <v>0</v>
      </c>
      <c r="E340" s="9"/>
      <c r="F340" s="9">
        <v>0</v>
      </c>
      <c r="G340" s="83">
        <v>14448</v>
      </c>
      <c r="H340" s="83">
        <f t="shared" ref="H340:H357" si="75">SUM(J340:U340)+SUM(AA340:AC340)</f>
        <v>8000</v>
      </c>
      <c r="I340" s="133">
        <f t="shared" ref="I340:I357" si="76">ROUND((H340/G340),4)</f>
        <v>0.55369999999999997</v>
      </c>
      <c r="J340" s="82"/>
      <c r="K340" s="82"/>
      <c r="L340" s="82"/>
      <c r="M340" s="82"/>
      <c r="N340" s="82">
        <v>2500</v>
      </c>
      <c r="O340" s="82"/>
      <c r="P340" s="82">
        <v>2500</v>
      </c>
      <c r="Q340" s="82"/>
      <c r="R340" s="82"/>
      <c r="S340" s="23"/>
      <c r="T340" s="23">
        <v>2500</v>
      </c>
      <c r="U340" s="23">
        <v>500</v>
      </c>
      <c r="V340" s="7" t="s">
        <v>726</v>
      </c>
      <c r="W340" s="82">
        <f t="shared" ref="W340:W357" si="77">G340-H340</f>
        <v>6448</v>
      </c>
      <c r="Y340" s="4"/>
      <c r="Z340" s="4"/>
      <c r="AA340" s="82"/>
      <c r="AB340" s="82"/>
      <c r="AC340" s="82"/>
      <c r="AD340" s="23"/>
      <c r="AE340" s="7" t="s">
        <v>463</v>
      </c>
      <c r="AH340" s="23">
        <f>SUM('2021 Detail'!J326:U326)+SUM('2021 Detail'!AA326:AC326)</f>
        <v>12000</v>
      </c>
      <c r="AJ340" s="23">
        <f t="shared" si="59"/>
        <v>-4000</v>
      </c>
      <c r="AL340" t="str">
        <f t="shared" si="69"/>
        <v>Down</v>
      </c>
      <c r="AQ340" s="23">
        <v>5000</v>
      </c>
    </row>
    <row r="341" spans="1:43" x14ac:dyDescent="0.2">
      <c r="A341" s="226" t="s">
        <v>247</v>
      </c>
      <c r="B341" s="9" t="s">
        <v>495</v>
      </c>
      <c r="C341" s="9" t="s">
        <v>495</v>
      </c>
      <c r="D341" s="9" t="s">
        <v>495</v>
      </c>
      <c r="E341" s="9"/>
      <c r="F341" s="9">
        <v>0</v>
      </c>
      <c r="G341" s="83">
        <v>6691</v>
      </c>
      <c r="H341" s="83">
        <f t="shared" si="75"/>
        <v>5300</v>
      </c>
      <c r="I341" s="133">
        <f t="shared" si="76"/>
        <v>0.79210000000000003</v>
      </c>
      <c r="J341" s="82"/>
      <c r="K341" s="82"/>
      <c r="L341" s="82"/>
      <c r="M341" s="82"/>
      <c r="N341" s="82"/>
      <c r="O341" s="82"/>
      <c r="P341" s="82"/>
      <c r="Q341" s="82"/>
      <c r="R341" s="82"/>
      <c r="S341" s="23">
        <v>2000</v>
      </c>
      <c r="T341" s="23"/>
      <c r="U341" s="23">
        <v>3300</v>
      </c>
      <c r="V341" s="7" t="s">
        <v>727</v>
      </c>
      <c r="W341" s="82">
        <f t="shared" si="77"/>
        <v>1391</v>
      </c>
      <c r="Y341" s="4"/>
      <c r="Z341" s="4"/>
      <c r="AA341" s="82"/>
      <c r="AB341" s="82"/>
      <c r="AC341" s="82"/>
      <c r="AD341" s="23"/>
      <c r="AE341" s="7" t="s">
        <v>463</v>
      </c>
      <c r="AH341" s="23">
        <f>SUM('2021 Detail'!J327:U327)+SUM('2021 Detail'!AA327:AC327)</f>
        <v>312</v>
      </c>
      <c r="AJ341" s="23">
        <f t="shared" si="59"/>
        <v>4988</v>
      </c>
      <c r="AL341" t="str">
        <f t="shared" si="69"/>
        <v>Up</v>
      </c>
    </row>
    <row r="342" spans="1:43" x14ac:dyDescent="0.2">
      <c r="A342" s="226" t="s">
        <v>248</v>
      </c>
      <c r="B342" s="9" t="s">
        <v>495</v>
      </c>
      <c r="C342" s="9" t="s">
        <v>495</v>
      </c>
      <c r="D342" s="9" t="s">
        <v>495</v>
      </c>
      <c r="E342" s="9"/>
      <c r="F342" s="9">
        <v>0</v>
      </c>
      <c r="G342" s="83">
        <v>2289</v>
      </c>
      <c r="H342" s="83">
        <f t="shared" si="75"/>
        <v>2289</v>
      </c>
      <c r="I342" s="133">
        <f t="shared" si="76"/>
        <v>1</v>
      </c>
      <c r="J342" s="82"/>
      <c r="K342" s="82"/>
      <c r="L342" s="82"/>
      <c r="M342" s="82"/>
      <c r="N342" s="82"/>
      <c r="O342" s="82">
        <v>1144.5</v>
      </c>
      <c r="P342" s="82"/>
      <c r="Q342" s="82"/>
      <c r="R342" s="82"/>
      <c r="S342" s="23"/>
      <c r="T342" s="23">
        <v>1144.5</v>
      </c>
      <c r="U342" s="23"/>
      <c r="V342" s="7" t="s">
        <v>728</v>
      </c>
      <c r="W342" s="82">
        <f t="shared" si="77"/>
        <v>0</v>
      </c>
      <c r="Y342" s="4"/>
      <c r="Z342" s="4"/>
      <c r="AA342" s="82"/>
      <c r="AB342" s="82"/>
      <c r="AC342" s="82"/>
      <c r="AD342" s="23"/>
      <c r="AE342" s="7" t="s">
        <v>463</v>
      </c>
      <c r="AH342" s="23">
        <f>SUM('2021 Detail'!J328:U328)+SUM('2021 Detail'!AA328:AC328)</f>
        <v>2289</v>
      </c>
      <c r="AJ342" s="23">
        <f t="shared" si="59"/>
        <v>0</v>
      </c>
      <c r="AL342" t="str">
        <f t="shared" si="69"/>
        <v>Same</v>
      </c>
      <c r="AQ342" s="23">
        <v>1289</v>
      </c>
    </row>
    <row r="343" spans="1:43" x14ac:dyDescent="0.2">
      <c r="A343" s="226" t="s">
        <v>249</v>
      </c>
      <c r="B343" s="9" t="s">
        <v>495</v>
      </c>
      <c r="C343" s="9" t="s">
        <v>495</v>
      </c>
      <c r="D343" s="9" t="s">
        <v>495</v>
      </c>
      <c r="E343" s="9"/>
      <c r="F343" s="9" t="s">
        <v>495</v>
      </c>
      <c r="G343" s="83">
        <v>10436</v>
      </c>
      <c r="H343" s="83">
        <f t="shared" si="75"/>
        <v>8130</v>
      </c>
      <c r="I343" s="133">
        <f t="shared" si="76"/>
        <v>0.77900000000000003</v>
      </c>
      <c r="J343" s="82">
        <v>460</v>
      </c>
      <c r="K343" s="82">
        <v>460</v>
      </c>
      <c r="L343" s="82">
        <v>460</v>
      </c>
      <c r="M343" s="82">
        <v>750</v>
      </c>
      <c r="N343" s="82">
        <v>750</v>
      </c>
      <c r="O343" s="82">
        <v>750</v>
      </c>
      <c r="P343" s="82">
        <v>750</v>
      </c>
      <c r="Q343" s="82">
        <v>750</v>
      </c>
      <c r="R343" s="82">
        <v>750</v>
      </c>
      <c r="S343" s="23">
        <v>750</v>
      </c>
      <c r="T343" s="23">
        <v>750</v>
      </c>
      <c r="U343" s="23">
        <v>750</v>
      </c>
      <c r="V343" s="7" t="s">
        <v>729</v>
      </c>
      <c r="W343" s="82">
        <f t="shared" si="77"/>
        <v>2306</v>
      </c>
      <c r="Y343" s="4"/>
      <c r="Z343" s="4"/>
      <c r="AA343" s="82"/>
      <c r="AB343" s="82"/>
      <c r="AC343" s="82"/>
      <c r="AD343" s="23"/>
      <c r="AE343" s="7" t="s">
        <v>459</v>
      </c>
      <c r="AH343" s="23">
        <f>SUM('2021 Detail'!J329:U329)+SUM('2021 Detail'!AA329:AC329)</f>
        <v>6480</v>
      </c>
      <c r="AJ343" s="23">
        <f t="shared" ref="AJ343:AJ406" si="78">H343-AH343</f>
        <v>1650</v>
      </c>
      <c r="AL343" t="str">
        <f t="shared" si="69"/>
        <v>Up</v>
      </c>
      <c r="AQ343" s="23">
        <v>460</v>
      </c>
    </row>
    <row r="344" spans="1:43" x14ac:dyDescent="0.2">
      <c r="A344" s="226" t="s">
        <v>250</v>
      </c>
      <c r="B344" s="9" t="s">
        <v>495</v>
      </c>
      <c r="C344" s="9" t="s">
        <v>495</v>
      </c>
      <c r="D344" s="9" t="s">
        <v>495</v>
      </c>
      <c r="E344" s="9"/>
      <c r="F344" s="9" t="s">
        <v>495</v>
      </c>
      <c r="G344" s="83">
        <v>17392</v>
      </c>
      <c r="H344" s="83">
        <f t="shared" si="75"/>
        <v>10000</v>
      </c>
      <c r="I344" s="133">
        <f t="shared" si="76"/>
        <v>0.57499999999999996</v>
      </c>
      <c r="J344" s="82">
        <v>833.37</v>
      </c>
      <c r="K344" s="82">
        <v>833.33</v>
      </c>
      <c r="L344" s="82">
        <v>833.33</v>
      </c>
      <c r="M344" s="82">
        <v>833.33</v>
      </c>
      <c r="N344" s="82">
        <v>833.33</v>
      </c>
      <c r="O344" s="82">
        <v>833.33</v>
      </c>
      <c r="P344" s="82">
        <v>833.33</v>
      </c>
      <c r="Q344" s="82">
        <v>833.33</v>
      </c>
      <c r="R344" s="82">
        <v>833.33</v>
      </c>
      <c r="S344" s="23">
        <v>833.33</v>
      </c>
      <c r="T344" s="23">
        <v>833.33</v>
      </c>
      <c r="U344" s="23">
        <v>833.33</v>
      </c>
      <c r="V344" s="7" t="s">
        <v>730</v>
      </c>
      <c r="W344" s="82">
        <f t="shared" si="77"/>
        <v>7392</v>
      </c>
      <c r="Y344" s="4"/>
      <c r="Z344" s="4"/>
      <c r="AA344" s="82"/>
      <c r="AB344" s="82"/>
      <c r="AC344" s="82"/>
      <c r="AD344" s="23"/>
      <c r="AE344" s="7" t="s">
        <v>459</v>
      </c>
      <c r="AH344" s="23">
        <f>SUM('2021 Detail'!J330:U330)+SUM('2021 Detail'!AA330:AC330)</f>
        <v>11600</v>
      </c>
      <c r="AJ344" s="23">
        <f t="shared" si="78"/>
        <v>-1600</v>
      </c>
      <c r="AL344" t="str">
        <f t="shared" si="69"/>
        <v>Down</v>
      </c>
      <c r="AQ344" s="23">
        <v>965</v>
      </c>
    </row>
    <row r="345" spans="1:43" x14ac:dyDescent="0.2">
      <c r="A345" s="226" t="s">
        <v>251</v>
      </c>
      <c r="B345" s="9" t="s">
        <v>495</v>
      </c>
      <c r="C345" s="9" t="s">
        <v>495</v>
      </c>
      <c r="D345" s="9" t="s">
        <v>495</v>
      </c>
      <c r="E345" s="9"/>
      <c r="F345" s="9" t="s">
        <v>495</v>
      </c>
      <c r="G345" s="83">
        <v>68537</v>
      </c>
      <c r="H345" s="83">
        <f t="shared" si="75"/>
        <v>68537.000000000015</v>
      </c>
      <c r="I345" s="133">
        <f t="shared" si="76"/>
        <v>1</v>
      </c>
      <c r="J345" s="82">
        <v>5711.49</v>
      </c>
      <c r="K345" s="82">
        <v>5711.41</v>
      </c>
      <c r="L345" s="82">
        <v>5711.41</v>
      </c>
      <c r="M345" s="82">
        <v>5711.41</v>
      </c>
      <c r="N345" s="82">
        <v>5711.41</v>
      </c>
      <c r="O345" s="82">
        <v>5711.41</v>
      </c>
      <c r="P345" s="82">
        <v>5711.41</v>
      </c>
      <c r="Q345" s="82">
        <v>5711.41</v>
      </c>
      <c r="R345" s="82">
        <v>5711.41</v>
      </c>
      <c r="S345" s="23">
        <v>5711.41</v>
      </c>
      <c r="T345" s="23">
        <v>5711.41</v>
      </c>
      <c r="U345" s="23">
        <v>5711.41</v>
      </c>
      <c r="V345" s="7" t="s">
        <v>731</v>
      </c>
      <c r="W345" s="82">
        <f t="shared" si="77"/>
        <v>0</v>
      </c>
      <c r="Y345" s="4"/>
      <c r="Z345" s="4"/>
      <c r="AA345" s="82"/>
      <c r="AB345" s="82"/>
      <c r="AC345" s="82"/>
      <c r="AD345" s="23"/>
      <c r="AE345" s="7" t="s">
        <v>460</v>
      </c>
      <c r="AH345" s="23">
        <f>SUM('2021 Detail'!J331:U331)+SUM('2021 Detail'!AA331:AC331)</f>
        <v>68536.999999999985</v>
      </c>
      <c r="AJ345" s="23">
        <f t="shared" si="78"/>
        <v>0</v>
      </c>
      <c r="AL345" t="str">
        <f t="shared" si="69"/>
        <v>Same</v>
      </c>
      <c r="AQ345" s="23">
        <v>5891.63</v>
      </c>
    </row>
    <row r="346" spans="1:43" x14ac:dyDescent="0.2">
      <c r="A346" s="226" t="s">
        <v>252</v>
      </c>
      <c r="B346" s="9" t="s">
        <v>495</v>
      </c>
      <c r="C346" s="9" t="s">
        <v>495</v>
      </c>
      <c r="D346" s="9">
        <v>0</v>
      </c>
      <c r="E346" s="9"/>
      <c r="F346" s="9">
        <v>0</v>
      </c>
      <c r="G346" s="83">
        <v>28435</v>
      </c>
      <c r="H346" s="83">
        <f t="shared" si="75"/>
        <v>18000</v>
      </c>
      <c r="I346" s="133">
        <f t="shared" si="76"/>
        <v>0.63300000000000001</v>
      </c>
      <c r="J346" s="82"/>
      <c r="K346" s="82"/>
      <c r="L346" s="82"/>
      <c r="M346" s="82">
        <v>2500</v>
      </c>
      <c r="N346" s="82"/>
      <c r="O346" s="82">
        <v>5000</v>
      </c>
      <c r="P346" s="82"/>
      <c r="Q346" s="82">
        <v>2500</v>
      </c>
      <c r="R346" s="82"/>
      <c r="S346" s="23"/>
      <c r="T346" s="23">
        <v>2500</v>
      </c>
      <c r="U346" s="23">
        <v>5500</v>
      </c>
      <c r="V346" s="7" t="s">
        <v>732</v>
      </c>
      <c r="W346" s="82">
        <f t="shared" si="77"/>
        <v>10435</v>
      </c>
      <c r="Y346" s="4"/>
      <c r="Z346" s="4"/>
      <c r="AA346" s="82"/>
      <c r="AB346" s="82"/>
      <c r="AC346" s="82"/>
      <c r="AD346" s="23"/>
      <c r="AE346" s="7" t="s">
        <v>461</v>
      </c>
      <c r="AH346" s="23">
        <f>SUM('2021 Detail'!J332:U332)+SUM('2021 Detail'!AA332:AC332)</f>
        <v>19000</v>
      </c>
      <c r="AJ346" s="23">
        <f t="shared" si="78"/>
        <v>-1000</v>
      </c>
      <c r="AL346" t="str">
        <f t="shared" si="69"/>
        <v>Down</v>
      </c>
      <c r="AQ346" s="23">
        <v>4000</v>
      </c>
    </row>
    <row r="347" spans="1:43" x14ac:dyDescent="0.2">
      <c r="A347" s="226" t="s">
        <v>253</v>
      </c>
      <c r="B347" s="9" t="s">
        <v>495</v>
      </c>
      <c r="C347" s="9" t="s">
        <v>495</v>
      </c>
      <c r="D347" s="9" t="s">
        <v>495</v>
      </c>
      <c r="E347" s="9"/>
      <c r="F347" s="9">
        <v>0</v>
      </c>
      <c r="G347" s="83">
        <v>30000</v>
      </c>
      <c r="H347" s="83">
        <f t="shared" si="75"/>
        <v>30000</v>
      </c>
      <c r="I347" s="133">
        <f t="shared" si="76"/>
        <v>1</v>
      </c>
      <c r="J347" s="82">
        <v>2500</v>
      </c>
      <c r="K347" s="82">
        <v>2500</v>
      </c>
      <c r="L347" s="82">
        <v>2500</v>
      </c>
      <c r="M347" s="82">
        <v>2500</v>
      </c>
      <c r="N347" s="82">
        <v>2500</v>
      </c>
      <c r="O347" s="82">
        <v>2500</v>
      </c>
      <c r="P347" s="82">
        <v>2500</v>
      </c>
      <c r="Q347" s="82">
        <v>2500</v>
      </c>
      <c r="R347" s="82">
        <v>2500</v>
      </c>
      <c r="S347" s="82">
        <v>2500</v>
      </c>
      <c r="T347" s="23">
        <v>2500</v>
      </c>
      <c r="U347" s="23">
        <v>2500</v>
      </c>
      <c r="V347" s="7" t="s">
        <v>733</v>
      </c>
      <c r="W347" s="82">
        <f t="shared" si="77"/>
        <v>0</v>
      </c>
      <c r="Y347" s="4"/>
      <c r="Z347" s="4"/>
      <c r="AA347" s="82"/>
      <c r="AB347" s="82"/>
      <c r="AC347" s="82"/>
      <c r="AD347" s="23"/>
      <c r="AE347" s="7" t="s">
        <v>461</v>
      </c>
      <c r="AH347" s="23">
        <f>SUM('2021 Detail'!J333:U333)+SUM('2021 Detail'!AA333:AC333)</f>
        <v>30000</v>
      </c>
      <c r="AJ347" s="23">
        <f t="shared" si="78"/>
        <v>0</v>
      </c>
      <c r="AL347" t="str">
        <f t="shared" si="69"/>
        <v>Same</v>
      </c>
      <c r="AQ347" s="23">
        <v>2500</v>
      </c>
    </row>
    <row r="348" spans="1:43" x14ac:dyDescent="0.2">
      <c r="A348" s="226" t="s">
        <v>254</v>
      </c>
      <c r="B348" s="9" t="s">
        <v>495</v>
      </c>
      <c r="C348" s="9" t="s">
        <v>495</v>
      </c>
      <c r="D348" s="9">
        <v>0</v>
      </c>
      <c r="E348" s="9"/>
      <c r="F348" s="9">
        <v>0</v>
      </c>
      <c r="G348" s="83">
        <v>8649</v>
      </c>
      <c r="H348" s="83">
        <f t="shared" si="75"/>
        <v>8700</v>
      </c>
      <c r="I348" s="133">
        <f t="shared" si="76"/>
        <v>1.0059</v>
      </c>
      <c r="J348" s="82"/>
      <c r="K348" s="82"/>
      <c r="L348" s="82"/>
      <c r="M348" s="82"/>
      <c r="N348" s="82"/>
      <c r="O348" s="82">
        <v>8700</v>
      </c>
      <c r="P348" s="82"/>
      <c r="Q348" s="82"/>
      <c r="R348" s="82"/>
      <c r="S348" s="23"/>
      <c r="T348" s="23"/>
      <c r="U348" s="23"/>
      <c r="V348" s="7" t="s">
        <v>734</v>
      </c>
      <c r="W348" s="82">
        <f t="shared" si="77"/>
        <v>-51</v>
      </c>
      <c r="Y348" s="4"/>
      <c r="Z348" s="4"/>
      <c r="AA348" s="82"/>
      <c r="AB348" s="82"/>
      <c r="AC348" s="82"/>
      <c r="AD348" s="23"/>
      <c r="AE348" s="7" t="s">
        <v>463</v>
      </c>
      <c r="AH348" s="23">
        <f>SUM('2021 Detail'!J334:U334)+SUM('2021 Detail'!AA334:AC334)</f>
        <v>8650</v>
      </c>
      <c r="AJ348" s="23">
        <f t="shared" si="78"/>
        <v>50</v>
      </c>
      <c r="AL348" t="str">
        <f t="shared" si="69"/>
        <v>Up</v>
      </c>
    </row>
    <row r="349" spans="1:43" x14ac:dyDescent="0.2">
      <c r="A349" s="226" t="s">
        <v>255</v>
      </c>
      <c r="B349" s="9" t="s">
        <v>495</v>
      </c>
      <c r="C349" s="9" t="s">
        <v>495</v>
      </c>
      <c r="D349" s="9" t="s">
        <v>495</v>
      </c>
      <c r="E349" s="9"/>
      <c r="F349" s="9">
        <v>0</v>
      </c>
      <c r="G349" s="83">
        <v>9632</v>
      </c>
      <c r="H349" s="83">
        <f t="shared" si="75"/>
        <v>7224</v>
      </c>
      <c r="I349" s="133">
        <f t="shared" si="76"/>
        <v>0.75</v>
      </c>
      <c r="J349" s="82"/>
      <c r="K349" s="82"/>
      <c r="L349" s="82"/>
      <c r="M349" s="82"/>
      <c r="N349" s="82"/>
      <c r="O349" s="82">
        <v>2448.1</v>
      </c>
      <c r="P349" s="82"/>
      <c r="Q349" s="82"/>
      <c r="R349" s="82"/>
      <c r="S349" s="23"/>
      <c r="T349" s="23">
        <v>4775.8999999999996</v>
      </c>
      <c r="U349" s="23"/>
      <c r="V349" s="7" t="s">
        <v>735</v>
      </c>
      <c r="W349" s="82">
        <f t="shared" si="77"/>
        <v>2408</v>
      </c>
      <c r="Y349" s="4"/>
      <c r="Z349" s="4"/>
      <c r="AA349" s="82"/>
      <c r="AB349" s="82"/>
      <c r="AC349" s="82"/>
      <c r="AD349" s="23"/>
      <c r="AE349" s="7" t="s">
        <v>463</v>
      </c>
      <c r="AH349" s="23">
        <f>SUM('2021 Detail'!J335:U335)+SUM('2021 Detail'!AA335:AC335)</f>
        <v>7224</v>
      </c>
      <c r="AJ349" s="23">
        <f t="shared" si="78"/>
        <v>0</v>
      </c>
      <c r="AL349" t="str">
        <f t="shared" si="69"/>
        <v>Same</v>
      </c>
      <c r="AQ349" s="23">
        <v>2935.4</v>
      </c>
    </row>
    <row r="350" spans="1:43" x14ac:dyDescent="0.2">
      <c r="A350" s="226" t="s">
        <v>256</v>
      </c>
      <c r="B350" s="9">
        <v>0</v>
      </c>
      <c r="C350" s="9" t="s">
        <v>495</v>
      </c>
      <c r="D350" s="9" t="s">
        <v>495</v>
      </c>
      <c r="E350" s="9"/>
      <c r="F350" s="9" t="s">
        <v>495</v>
      </c>
      <c r="G350" s="83">
        <v>22730</v>
      </c>
      <c r="H350" s="83">
        <f t="shared" si="75"/>
        <v>15000</v>
      </c>
      <c r="I350" s="133">
        <f t="shared" si="76"/>
        <v>0.65990000000000004</v>
      </c>
      <c r="J350" s="82">
        <v>1000</v>
      </c>
      <c r="K350" s="82">
        <v>1000</v>
      </c>
      <c r="L350" s="82">
        <v>1000</v>
      </c>
      <c r="M350" s="82">
        <v>1000</v>
      </c>
      <c r="N350" s="82">
        <v>1000</v>
      </c>
      <c r="O350" s="82">
        <v>1000</v>
      </c>
      <c r="P350" s="82">
        <v>1000</v>
      </c>
      <c r="Q350" s="82">
        <v>1000</v>
      </c>
      <c r="R350" s="82">
        <v>1000</v>
      </c>
      <c r="S350" s="23">
        <v>1000</v>
      </c>
      <c r="T350" s="23">
        <v>1000</v>
      </c>
      <c r="U350" s="23">
        <v>1000</v>
      </c>
      <c r="V350" s="7" t="s">
        <v>736</v>
      </c>
      <c r="W350" s="82">
        <f t="shared" si="77"/>
        <v>7730</v>
      </c>
      <c r="Y350" s="4"/>
      <c r="Z350" s="4"/>
      <c r="AA350" s="82">
        <v>3000</v>
      </c>
      <c r="AB350" s="82"/>
      <c r="AC350" s="82"/>
      <c r="AD350" s="23"/>
      <c r="AE350" s="7" t="s">
        <v>462</v>
      </c>
      <c r="AH350" s="23">
        <f>SUM('2021 Detail'!J336:U336)+SUM('2021 Detail'!AA336:AC336)</f>
        <v>12000</v>
      </c>
      <c r="AJ350" s="23">
        <f t="shared" si="78"/>
        <v>3000</v>
      </c>
      <c r="AL350" t="str">
        <f t="shared" si="69"/>
        <v>Up</v>
      </c>
      <c r="AQ350" s="23">
        <v>1000</v>
      </c>
    </row>
    <row r="351" spans="1:43" x14ac:dyDescent="0.2">
      <c r="A351" s="226" t="s">
        <v>257</v>
      </c>
      <c r="B351" s="9" t="s">
        <v>495</v>
      </c>
      <c r="C351" s="9">
        <v>0</v>
      </c>
      <c r="D351" s="9">
        <v>0</v>
      </c>
      <c r="E351" s="9"/>
      <c r="F351" s="9" t="s">
        <v>495</v>
      </c>
      <c r="G351" s="83">
        <v>2000</v>
      </c>
      <c r="H351" s="83">
        <f t="shared" si="75"/>
        <v>2000</v>
      </c>
      <c r="I351" s="133">
        <f t="shared" si="76"/>
        <v>1</v>
      </c>
      <c r="J351" s="82">
        <v>100</v>
      </c>
      <c r="K351" s="82">
        <v>100</v>
      </c>
      <c r="L351" s="82">
        <v>100</v>
      </c>
      <c r="M351" s="82">
        <v>100</v>
      </c>
      <c r="N351" s="82">
        <v>100</v>
      </c>
      <c r="O351" s="82">
        <v>100</v>
      </c>
      <c r="P351" s="82">
        <v>100</v>
      </c>
      <c r="Q351" s="82">
        <v>100</v>
      </c>
      <c r="R351" s="82">
        <v>100</v>
      </c>
      <c r="S351" s="23">
        <v>100</v>
      </c>
      <c r="T351" s="23">
        <v>100</v>
      </c>
      <c r="U351" s="23">
        <v>900</v>
      </c>
      <c r="V351" s="7" t="s">
        <v>737</v>
      </c>
      <c r="W351" s="82">
        <f t="shared" si="77"/>
        <v>0</v>
      </c>
      <c r="Y351" s="4"/>
      <c r="Z351" s="4"/>
      <c r="AA351" s="82"/>
      <c r="AB351" s="82"/>
      <c r="AC351" s="82"/>
      <c r="AD351" s="23"/>
      <c r="AE351" s="7" t="s">
        <v>460</v>
      </c>
      <c r="AH351" s="23">
        <f>SUM('2021 Detail'!J337:U337)+SUM('2021 Detail'!AA337:AC337)</f>
        <v>2000</v>
      </c>
      <c r="AJ351" s="23">
        <f t="shared" si="78"/>
        <v>0</v>
      </c>
      <c r="AL351" t="str">
        <f t="shared" si="69"/>
        <v>Same</v>
      </c>
      <c r="AQ351" s="23">
        <v>900</v>
      </c>
    </row>
    <row r="352" spans="1:43" x14ac:dyDescent="0.2">
      <c r="A352" s="226" t="s">
        <v>258</v>
      </c>
      <c r="B352" s="9" t="s">
        <v>495</v>
      </c>
      <c r="C352" s="9">
        <v>0</v>
      </c>
      <c r="D352" s="9" t="s">
        <v>495</v>
      </c>
      <c r="E352" s="9"/>
      <c r="F352" s="9">
        <v>0</v>
      </c>
      <c r="G352" s="83">
        <v>9435</v>
      </c>
      <c r="H352" s="83">
        <f t="shared" si="75"/>
        <v>6000</v>
      </c>
      <c r="I352" s="133">
        <f t="shared" si="76"/>
        <v>0.63590000000000002</v>
      </c>
      <c r="J352" s="82"/>
      <c r="K352" s="82"/>
      <c r="L352" s="82"/>
      <c r="M352" s="82"/>
      <c r="N352" s="82"/>
      <c r="O352" s="82"/>
      <c r="P352" s="82"/>
      <c r="Q352" s="82">
        <v>3000</v>
      </c>
      <c r="R352" s="82"/>
      <c r="S352" s="23">
        <v>3000</v>
      </c>
      <c r="T352" s="23"/>
      <c r="U352" s="23"/>
      <c r="V352" s="7" t="s">
        <v>738</v>
      </c>
      <c r="W352" s="82">
        <f t="shared" si="77"/>
        <v>3435</v>
      </c>
      <c r="Y352" s="4"/>
      <c r="Z352" s="4"/>
      <c r="AA352" s="82"/>
      <c r="AB352" s="82"/>
      <c r="AC352" s="82"/>
      <c r="AD352" s="23"/>
      <c r="AE352" s="7" t="s">
        <v>463</v>
      </c>
      <c r="AH352" s="23">
        <f>SUM('2021 Detail'!J338:U338)+SUM('2021 Detail'!AA338:AC338)</f>
        <v>6000</v>
      </c>
      <c r="AJ352" s="23">
        <f t="shared" si="78"/>
        <v>0</v>
      </c>
      <c r="AL352" t="str">
        <f t="shared" si="69"/>
        <v>Same</v>
      </c>
    </row>
    <row r="353" spans="1:43" x14ac:dyDescent="0.2">
      <c r="A353" s="226" t="s">
        <v>259</v>
      </c>
      <c r="B353" s="9">
        <v>0</v>
      </c>
      <c r="C353" s="9">
        <v>0</v>
      </c>
      <c r="D353" s="9" t="s">
        <v>495</v>
      </c>
      <c r="E353" s="9"/>
      <c r="F353" s="9">
        <v>0</v>
      </c>
      <c r="G353" s="83">
        <v>16409</v>
      </c>
      <c r="H353" s="83">
        <f t="shared" si="75"/>
        <v>6000</v>
      </c>
      <c r="I353" s="133">
        <f t="shared" si="76"/>
        <v>0.36570000000000003</v>
      </c>
      <c r="J353" s="82">
        <v>1000</v>
      </c>
      <c r="K353" s="82">
        <v>1000</v>
      </c>
      <c r="L353" s="82">
        <v>1000</v>
      </c>
      <c r="M353" s="82">
        <v>1000</v>
      </c>
      <c r="N353" s="82">
        <v>1000</v>
      </c>
      <c r="O353" s="82">
        <v>1000</v>
      </c>
      <c r="P353" s="82"/>
      <c r="Q353" s="82"/>
      <c r="R353" s="82"/>
      <c r="S353" s="23"/>
      <c r="T353" s="23"/>
      <c r="U353" s="23"/>
      <c r="V353" s="7" t="s">
        <v>739</v>
      </c>
      <c r="W353" s="82">
        <f t="shared" si="77"/>
        <v>10409</v>
      </c>
      <c r="Y353" s="4"/>
      <c r="Z353" s="4"/>
      <c r="AA353" s="82"/>
      <c r="AB353" s="82"/>
      <c r="AC353" s="82"/>
      <c r="AD353" s="23"/>
      <c r="AE353" s="7" t="s">
        <v>463</v>
      </c>
      <c r="AH353" s="23">
        <f>SUM('2021 Detail'!J339:U339)+SUM('2021 Detail'!AA339:AC339)</f>
        <v>12502</v>
      </c>
      <c r="AJ353" s="23">
        <f t="shared" si="78"/>
        <v>-6502</v>
      </c>
      <c r="AL353" t="str">
        <f t="shared" si="69"/>
        <v>Down</v>
      </c>
      <c r="AQ353" s="23">
        <v>1502</v>
      </c>
    </row>
    <row r="354" spans="1:43" x14ac:dyDescent="0.2">
      <c r="A354" s="226" t="s">
        <v>260</v>
      </c>
      <c r="B354" s="9" t="s">
        <v>495</v>
      </c>
      <c r="C354" s="9" t="s">
        <v>495</v>
      </c>
      <c r="D354" s="9">
        <v>0</v>
      </c>
      <c r="E354" s="9"/>
      <c r="F354" s="9" t="s">
        <v>495</v>
      </c>
      <c r="G354" s="83">
        <v>26400</v>
      </c>
      <c r="H354" s="83">
        <f t="shared" si="75"/>
        <v>26400</v>
      </c>
      <c r="I354" s="133">
        <f t="shared" si="76"/>
        <v>1</v>
      </c>
      <c r="J354" s="82">
        <v>2200</v>
      </c>
      <c r="K354" s="82">
        <v>2200</v>
      </c>
      <c r="L354" s="82">
        <v>2200</v>
      </c>
      <c r="M354" s="82">
        <v>2200</v>
      </c>
      <c r="N354" s="82">
        <v>2200</v>
      </c>
      <c r="O354" s="82">
        <v>2200</v>
      </c>
      <c r="P354" s="82">
        <v>2200</v>
      </c>
      <c r="Q354" s="82">
        <v>2200</v>
      </c>
      <c r="R354" s="82">
        <v>2200</v>
      </c>
      <c r="S354" s="23">
        <v>2200</v>
      </c>
      <c r="T354" s="23">
        <v>2200</v>
      </c>
      <c r="U354" s="23">
        <v>2200</v>
      </c>
      <c r="V354" s="7" t="s">
        <v>740</v>
      </c>
      <c r="W354" s="82">
        <f t="shared" si="77"/>
        <v>0</v>
      </c>
      <c r="Y354" s="4"/>
      <c r="Z354" s="4"/>
      <c r="AA354" s="82"/>
      <c r="AB354" s="82"/>
      <c r="AC354" s="82"/>
      <c r="AD354" s="23"/>
      <c r="AE354" s="7" t="s">
        <v>464</v>
      </c>
      <c r="AH354" s="23">
        <f>SUM('2021 Detail'!J340:U340)+SUM('2021 Detail'!AA340:AC340)</f>
        <v>26400</v>
      </c>
      <c r="AJ354" s="23">
        <f t="shared" si="78"/>
        <v>0</v>
      </c>
      <c r="AL354" t="str">
        <f t="shared" si="69"/>
        <v>Same</v>
      </c>
      <c r="AQ354" s="23">
        <v>2200</v>
      </c>
    </row>
    <row r="355" spans="1:43" x14ac:dyDescent="0.2">
      <c r="A355" s="226" t="s">
        <v>261</v>
      </c>
      <c r="B355" s="9" t="s">
        <v>495</v>
      </c>
      <c r="C355" s="9">
        <v>0</v>
      </c>
      <c r="D355" s="9">
        <v>0</v>
      </c>
      <c r="E355" s="9"/>
      <c r="F355" s="9">
        <v>0</v>
      </c>
      <c r="G355" s="83">
        <v>0</v>
      </c>
      <c r="H355" s="83">
        <f t="shared" si="75"/>
        <v>0</v>
      </c>
      <c r="I355" s="133">
        <v>0</v>
      </c>
      <c r="J355" s="82"/>
      <c r="K355" s="82"/>
      <c r="L355" s="82"/>
      <c r="M355" s="82"/>
      <c r="N355" s="82"/>
      <c r="O355" s="82"/>
      <c r="P355" s="82"/>
      <c r="Q355" s="82"/>
      <c r="R355" s="82"/>
      <c r="S355" s="23"/>
      <c r="T355" s="23"/>
      <c r="U355" s="23"/>
      <c r="V355" s="7" t="s">
        <v>741</v>
      </c>
      <c r="W355" s="82">
        <f t="shared" si="77"/>
        <v>0</v>
      </c>
      <c r="Y355" s="4"/>
      <c r="Z355" s="4"/>
      <c r="AA355" s="82"/>
      <c r="AB355" s="82"/>
      <c r="AC355" s="82"/>
      <c r="AD355" s="23"/>
      <c r="AE355" s="7" t="s">
        <v>459</v>
      </c>
      <c r="AH355" s="23">
        <f>SUM('2021 Detail'!J341:U341)+SUM('2021 Detail'!AA341:AC341)</f>
        <v>0</v>
      </c>
      <c r="AJ355" s="23">
        <f t="shared" si="78"/>
        <v>0</v>
      </c>
      <c r="AL355" t="str">
        <f t="shared" si="69"/>
        <v>Same</v>
      </c>
    </row>
    <row r="356" spans="1:43" x14ac:dyDescent="0.2">
      <c r="A356" s="226" t="s">
        <v>262</v>
      </c>
      <c r="B356" s="9" t="s">
        <v>495</v>
      </c>
      <c r="C356" s="9" t="s">
        <v>495</v>
      </c>
      <c r="D356" s="9" t="s">
        <v>495</v>
      </c>
      <c r="E356" s="9"/>
      <c r="F356" s="9">
        <v>0</v>
      </c>
      <c r="G356" s="83">
        <v>12173</v>
      </c>
      <c r="H356" s="83">
        <f t="shared" si="75"/>
        <v>7000</v>
      </c>
      <c r="I356" s="133">
        <f t="shared" si="76"/>
        <v>0.57499999999999996</v>
      </c>
      <c r="J356" s="82">
        <v>1750</v>
      </c>
      <c r="K356" s="82"/>
      <c r="L356" s="82"/>
      <c r="M356" s="82"/>
      <c r="N356" s="82"/>
      <c r="O356" s="82"/>
      <c r="P356" s="82">
        <v>1750</v>
      </c>
      <c r="Q356" s="82"/>
      <c r="R356" s="82"/>
      <c r="S356" s="23"/>
      <c r="T356" s="23">
        <v>3500</v>
      </c>
      <c r="U356" s="23"/>
      <c r="V356" s="7" t="s">
        <v>742</v>
      </c>
      <c r="W356" s="82">
        <f t="shared" si="77"/>
        <v>5173</v>
      </c>
      <c r="Y356" s="4"/>
      <c r="Z356" s="4"/>
      <c r="AA356" s="82"/>
      <c r="AB356" s="82"/>
      <c r="AC356" s="82"/>
      <c r="AD356" s="23"/>
      <c r="AE356" s="7" t="s">
        <v>459</v>
      </c>
      <c r="AH356" s="23">
        <f>SUM('2021 Detail'!J342:U342)+SUM('2021 Detail'!AA342:AC342)</f>
        <v>6400</v>
      </c>
      <c r="AJ356" s="23">
        <f t="shared" si="78"/>
        <v>600</v>
      </c>
      <c r="AL356" t="str">
        <f t="shared" si="69"/>
        <v>Up</v>
      </c>
      <c r="AQ356" s="23">
        <v>1600</v>
      </c>
    </row>
    <row r="357" spans="1:43" x14ac:dyDescent="0.2">
      <c r="A357" s="226" t="s">
        <v>263</v>
      </c>
      <c r="B357" s="9" t="s">
        <v>495</v>
      </c>
      <c r="C357" s="9" t="s">
        <v>495</v>
      </c>
      <c r="D357" s="9">
        <v>0</v>
      </c>
      <c r="E357" s="9"/>
      <c r="F357" s="9">
        <v>0</v>
      </c>
      <c r="G357" s="83">
        <v>30500</v>
      </c>
      <c r="H357" s="83">
        <f t="shared" si="75"/>
        <v>30500</v>
      </c>
      <c r="I357" s="133">
        <f t="shared" si="76"/>
        <v>1</v>
      </c>
      <c r="J357" s="82">
        <v>1500</v>
      </c>
      <c r="K357" s="82">
        <v>1500</v>
      </c>
      <c r="L357" s="82">
        <v>1500</v>
      </c>
      <c r="M357" s="82"/>
      <c r="N357" s="82">
        <v>3000</v>
      </c>
      <c r="O357" s="82">
        <v>9500</v>
      </c>
      <c r="P357" s="82"/>
      <c r="Q357" s="82">
        <v>3000</v>
      </c>
      <c r="R357" s="82">
        <v>1500</v>
      </c>
      <c r="S357" s="23">
        <v>1500</v>
      </c>
      <c r="T357" s="23">
        <v>1500</v>
      </c>
      <c r="U357" s="23">
        <v>6000</v>
      </c>
      <c r="V357" s="7" t="s">
        <v>743</v>
      </c>
      <c r="W357" s="82">
        <f t="shared" si="77"/>
        <v>0</v>
      </c>
      <c r="Y357" s="4"/>
      <c r="Z357" s="4"/>
      <c r="AA357" s="82"/>
      <c r="AB357" s="82"/>
      <c r="AC357" s="82"/>
      <c r="AD357" s="23"/>
      <c r="AE357" s="7" t="s">
        <v>462</v>
      </c>
      <c r="AH357" s="23">
        <f>SUM('2021 Detail'!J343:U343)+SUM('2021 Detail'!AA343:AC343)</f>
        <v>30250</v>
      </c>
      <c r="AJ357" s="23">
        <f t="shared" si="78"/>
        <v>250</v>
      </c>
      <c r="AL357" t="str">
        <f t="shared" si="69"/>
        <v>Up</v>
      </c>
      <c r="AQ357" s="23">
        <v>4500</v>
      </c>
    </row>
    <row r="358" spans="1:43" x14ac:dyDescent="0.2">
      <c r="G358" s="83"/>
      <c r="H358" s="83"/>
      <c r="I358" s="133"/>
      <c r="Y358" s="4"/>
      <c r="Z358" s="4"/>
      <c r="AA358" s="82"/>
      <c r="AB358" s="82"/>
      <c r="AC358" s="82"/>
      <c r="AD358" s="23"/>
      <c r="AJ358" s="23"/>
    </row>
    <row r="359" spans="1:43" x14ac:dyDescent="0.2">
      <c r="A359" s="226" t="s">
        <v>1142</v>
      </c>
      <c r="G359" s="83">
        <f>SUM(G340:G358)</f>
        <v>316156</v>
      </c>
      <c r="H359" s="83">
        <f>SUM(H340:H358)</f>
        <v>259080</v>
      </c>
      <c r="I359" s="133">
        <f t="shared" ref="I359:I360" si="79">ROUND((H359/G359),4)</f>
        <v>0.81950000000000001</v>
      </c>
      <c r="J359" s="83">
        <f>SUM(J340:J358)</f>
        <v>17054.86</v>
      </c>
      <c r="K359" s="83">
        <f t="shared" ref="K359:W359" si="80">SUM(K340:K358)</f>
        <v>15304.74</v>
      </c>
      <c r="L359" s="83">
        <f t="shared" si="80"/>
        <v>15304.74</v>
      </c>
      <c r="M359" s="83">
        <f t="shared" si="80"/>
        <v>16594.739999999998</v>
      </c>
      <c r="N359" s="83">
        <f t="shared" si="80"/>
        <v>19594.739999999998</v>
      </c>
      <c r="O359" s="83">
        <f t="shared" si="80"/>
        <v>40887.339999999997</v>
      </c>
      <c r="P359" s="83">
        <f t="shared" si="80"/>
        <v>17344.739999999998</v>
      </c>
      <c r="Q359" s="83">
        <f t="shared" si="80"/>
        <v>21594.739999999998</v>
      </c>
      <c r="R359" s="83">
        <f t="shared" si="80"/>
        <v>14594.74</v>
      </c>
      <c r="S359" s="4">
        <f t="shared" si="80"/>
        <v>19594.739999999998</v>
      </c>
      <c r="T359" s="4">
        <f t="shared" si="80"/>
        <v>29015.14</v>
      </c>
      <c r="U359" s="4">
        <f t="shared" si="80"/>
        <v>29194.739999999998</v>
      </c>
      <c r="V359" s="77"/>
      <c r="W359" s="82">
        <f t="shared" si="80"/>
        <v>57076</v>
      </c>
      <c r="Y359" s="4"/>
      <c r="Z359" s="4"/>
      <c r="AA359" s="83">
        <f t="shared" ref="AA359:AC359" si="81">SUM(AA340:AA358)</f>
        <v>3000</v>
      </c>
      <c r="AB359" s="83">
        <f t="shared" si="81"/>
        <v>0</v>
      </c>
      <c r="AC359" s="83">
        <f t="shared" si="81"/>
        <v>0</v>
      </c>
      <c r="AD359" s="4"/>
      <c r="AH359" s="23">
        <f>SUM(AH340:AH358)</f>
        <v>261644</v>
      </c>
      <c r="AJ359" s="23">
        <f t="shared" si="78"/>
        <v>-2564</v>
      </c>
      <c r="AM359" s="11">
        <f>SUM(J359:R359)+SUM(S360:U360)+SUM('2020 detail'!AA344:AC344)</f>
        <v>262609.01999999996</v>
      </c>
      <c r="AN359" s="24">
        <f>ROUND((AM359/G359),4)</f>
        <v>0.8306</v>
      </c>
      <c r="AO359" s="24">
        <f>ROUND((SUM(J360:U360)/G360),4)</f>
        <v>0.81710000000000005</v>
      </c>
      <c r="AQ359" s="23">
        <f>SUM(AQ340:AQ358)</f>
        <v>34743.03</v>
      </c>
    </row>
    <row r="360" spans="1:43" x14ac:dyDescent="0.2">
      <c r="A360" s="253" t="s">
        <v>1056</v>
      </c>
      <c r="G360" s="206">
        <f>'2021 Detail'!G345</f>
        <v>316155</v>
      </c>
      <c r="H360" s="206">
        <f>SUM(J360:U360)+SUM(AA360:AC360)</f>
        <v>261644.00000000003</v>
      </c>
      <c r="I360" s="207">
        <f t="shared" si="79"/>
        <v>0.8276</v>
      </c>
      <c r="J360" s="206">
        <f>'2021 Detail'!J345</f>
        <v>13464</v>
      </c>
      <c r="K360" s="206">
        <f>'2021 Detail'!K345</f>
        <v>17456.7</v>
      </c>
      <c r="L360" s="206">
        <f>'2021 Detail'!L345</f>
        <v>19356.63</v>
      </c>
      <c r="M360" s="206">
        <f>'2021 Detail'!M345</f>
        <v>16876.13</v>
      </c>
      <c r="N360" s="206">
        <f>'2021 Detail'!N345</f>
        <v>18716.63</v>
      </c>
      <c r="O360" s="206">
        <f>'2021 Detail'!O345</f>
        <v>21616.63</v>
      </c>
      <c r="P360" s="206">
        <f>'2021 Detail'!P345</f>
        <v>21678.38</v>
      </c>
      <c r="Q360" s="206">
        <f>'2021 Detail'!Q345</f>
        <v>25116.63</v>
      </c>
      <c r="R360" s="206">
        <f>'2021 Detail'!R345</f>
        <v>19716.63</v>
      </c>
      <c r="S360" s="206">
        <f>'2021 Detail'!S345</f>
        <v>30973.98</v>
      </c>
      <c r="T360" s="206">
        <f>'2021 Detail'!T345</f>
        <v>18616.63</v>
      </c>
      <c r="U360" s="206">
        <f>'2021 Detail'!U345</f>
        <v>34743.03</v>
      </c>
      <c r="V360" s="206"/>
      <c r="W360" s="206"/>
      <c r="X360" s="206"/>
      <c r="Y360" s="4"/>
      <c r="Z360" s="4"/>
      <c r="AA360" s="206">
        <f>'2021 Detail'!AA345</f>
        <v>3000</v>
      </c>
      <c r="AB360" s="206">
        <f>'2021 Detail'!AB345</f>
        <v>312</v>
      </c>
      <c r="AC360" s="206">
        <f>'2021 Detail'!AC345</f>
        <v>0</v>
      </c>
      <c r="AJ360" s="23"/>
    </row>
    <row r="361" spans="1:43" x14ac:dyDescent="0.2">
      <c r="Y361" s="4"/>
      <c r="Z361" s="4"/>
      <c r="AJ361" s="23"/>
    </row>
    <row r="362" spans="1:43" x14ac:dyDescent="0.2">
      <c r="A362" s="226" t="str">
        <f t="shared" ref="A362:U362" si="82">A$510</f>
        <v>Diocesan Total 2022</v>
      </c>
      <c r="B362" s="226">
        <f t="shared" si="82"/>
        <v>0</v>
      </c>
      <c r="C362" s="226">
        <f t="shared" si="82"/>
        <v>0</v>
      </c>
      <c r="D362" s="258">
        <f t="shared" si="82"/>
        <v>0</v>
      </c>
      <c r="E362" s="226">
        <f t="shared" si="82"/>
        <v>0</v>
      </c>
      <c r="F362" s="226">
        <f t="shared" si="82"/>
        <v>0</v>
      </c>
      <c r="G362" s="83">
        <f t="shared" si="82"/>
        <v>8116012</v>
      </c>
      <c r="H362" s="83">
        <f t="shared" si="82"/>
        <v>6559276.3399999999</v>
      </c>
      <c r="I362" s="133">
        <f t="shared" si="82"/>
        <v>0.80820000000000003</v>
      </c>
      <c r="J362" s="83">
        <f t="shared" si="82"/>
        <v>378351.23</v>
      </c>
      <c r="K362" s="83">
        <f t="shared" si="82"/>
        <v>449442.02</v>
      </c>
      <c r="L362" s="83">
        <f t="shared" si="82"/>
        <v>517036.34</v>
      </c>
      <c r="M362" s="83">
        <f t="shared" si="82"/>
        <v>434875.54000000004</v>
      </c>
      <c r="N362" s="83">
        <f t="shared" si="82"/>
        <v>497786.23</v>
      </c>
      <c r="O362" s="83">
        <f t="shared" si="82"/>
        <v>599586.94000000006</v>
      </c>
      <c r="P362" s="83">
        <f t="shared" si="82"/>
        <v>498701.35</v>
      </c>
      <c r="Q362" s="83">
        <f t="shared" si="82"/>
        <v>538018.41999999993</v>
      </c>
      <c r="R362" s="83">
        <f t="shared" si="82"/>
        <v>551902.79</v>
      </c>
      <c r="S362" s="4">
        <f t="shared" si="82"/>
        <v>564217.18000000005</v>
      </c>
      <c r="T362" s="4">
        <f t="shared" si="82"/>
        <v>645999.05000000005</v>
      </c>
      <c r="U362" s="4">
        <f t="shared" si="82"/>
        <v>736614.44</v>
      </c>
      <c r="V362" s="77"/>
      <c r="W362" s="82"/>
      <c r="X362" s="4"/>
      <c r="Y362" s="4"/>
      <c r="Z362" s="4"/>
      <c r="AA362" s="83"/>
      <c r="AB362" s="83"/>
      <c r="AC362" s="83"/>
      <c r="AD362" s="4"/>
      <c r="AH362" s="23">
        <f>AH$510</f>
        <v>6587993.7699999996</v>
      </c>
      <c r="AJ362" s="23">
        <f>AJ$510</f>
        <v>-28717.429999999702</v>
      </c>
    </row>
    <row r="363" spans="1:43" x14ac:dyDescent="0.2">
      <c r="A363" s="253" t="str">
        <f t="shared" ref="A363:T363" si="83">A$511</f>
        <v>Diocesan Total 2021</v>
      </c>
      <c r="B363" s="253">
        <f t="shared" si="83"/>
        <v>0</v>
      </c>
      <c r="C363" s="253">
        <f t="shared" si="83"/>
        <v>0</v>
      </c>
      <c r="D363" s="259">
        <f t="shared" si="83"/>
        <v>0</v>
      </c>
      <c r="E363" s="253">
        <f t="shared" si="83"/>
        <v>0</v>
      </c>
      <c r="F363" s="253">
        <f t="shared" si="83"/>
        <v>0</v>
      </c>
      <c r="G363" s="206">
        <f t="shared" si="83"/>
        <v>8132853</v>
      </c>
      <c r="H363" s="206">
        <f t="shared" si="83"/>
        <v>6587993.7700000005</v>
      </c>
      <c r="I363" s="207">
        <f t="shared" si="83"/>
        <v>0.81</v>
      </c>
      <c r="J363" s="206">
        <f t="shared" si="83"/>
        <v>340336.86</v>
      </c>
      <c r="K363" s="206">
        <f t="shared" si="83"/>
        <v>407387.73</v>
      </c>
      <c r="L363" s="206">
        <f t="shared" si="83"/>
        <v>497955.59</v>
      </c>
      <c r="M363" s="206">
        <f t="shared" si="83"/>
        <v>513800.89999999997</v>
      </c>
      <c r="N363" s="206">
        <f t="shared" si="83"/>
        <v>483760.16000000003</v>
      </c>
      <c r="O363" s="206">
        <f t="shared" si="83"/>
        <v>527451.71000000008</v>
      </c>
      <c r="P363" s="206">
        <f t="shared" si="83"/>
        <v>582882.6100000001</v>
      </c>
      <c r="Q363" s="206">
        <f t="shared" si="83"/>
        <v>489302.35</v>
      </c>
      <c r="R363" s="206">
        <f t="shared" si="83"/>
        <v>548459.72</v>
      </c>
      <c r="S363" s="206">
        <f t="shared" si="83"/>
        <v>527708.16999999993</v>
      </c>
      <c r="T363" s="206">
        <f t="shared" si="83"/>
        <v>616975.80999999994</v>
      </c>
      <c r="U363" s="206">
        <f>U819</f>
        <v>0</v>
      </c>
      <c r="V363" s="206"/>
      <c r="W363" s="206"/>
      <c r="X363" s="206"/>
      <c r="Y363" s="4"/>
      <c r="Z363" s="4"/>
      <c r="AA363" s="206"/>
      <c r="AB363" s="206"/>
      <c r="AC363" s="206"/>
      <c r="AJ363" s="23"/>
    </row>
    <row r="364" spans="1:43" s="6" customFormat="1" ht="15.75" x14ac:dyDescent="0.25">
      <c r="A364" s="226"/>
      <c r="B364" s="10"/>
      <c r="C364" s="10"/>
      <c r="D364" s="10"/>
      <c r="E364" s="10"/>
      <c r="F364" s="10"/>
      <c r="G364" s="196" t="s">
        <v>15</v>
      </c>
      <c r="H364" s="15"/>
      <c r="V364" s="10"/>
      <c r="W364" s="81"/>
      <c r="X364" s="7"/>
      <c r="Y364" s="4"/>
      <c r="Z364" s="4"/>
      <c r="AE364" s="10"/>
      <c r="AH364" s="171" t="s">
        <v>1136</v>
      </c>
      <c r="AI364" s="172"/>
      <c r="AJ364" s="171" t="s">
        <v>1064</v>
      </c>
      <c r="AQ364" s="23"/>
    </row>
    <row r="365" spans="1:43" s="6" customFormat="1" x14ac:dyDescent="0.2">
      <c r="A365" s="226"/>
      <c r="B365" s="10"/>
      <c r="C365" s="10"/>
      <c r="D365" s="9"/>
      <c r="E365" s="10"/>
      <c r="F365" s="10"/>
      <c r="G365" s="21"/>
      <c r="H365" s="15"/>
      <c r="V365" s="10"/>
      <c r="W365" s="81"/>
      <c r="X365" s="7"/>
      <c r="Y365" s="4"/>
      <c r="Z365" s="4"/>
      <c r="AE365" s="10"/>
      <c r="AH365" s="171" t="s">
        <v>1137</v>
      </c>
      <c r="AI365" s="172"/>
      <c r="AJ365" s="171" t="s">
        <v>1138</v>
      </c>
      <c r="AQ365" s="23"/>
    </row>
    <row r="366" spans="1:43" ht="16.5" x14ac:dyDescent="0.25">
      <c r="A366" s="250"/>
      <c r="B366" s="8"/>
      <c r="C366" s="8"/>
      <c r="E366" s="8"/>
      <c r="F366" s="8"/>
      <c r="G366" s="208" t="str">
        <f>$G$3</f>
        <v>2022 PARISH SHARE INFORMATION AS AT 31 DECEMBER 2022</v>
      </c>
      <c r="H366" s="209"/>
      <c r="W366" s="194"/>
      <c r="X366"/>
      <c r="Y366" s="4"/>
      <c r="Z366" s="4"/>
      <c r="AA366"/>
      <c r="AB366"/>
      <c r="AC366"/>
      <c r="AH366" s="172"/>
      <c r="AI366" s="172"/>
      <c r="AJ366" s="171" t="s">
        <v>1139</v>
      </c>
    </row>
    <row r="367" spans="1:43" x14ac:dyDescent="0.2">
      <c r="A367" s="250"/>
      <c r="G367" s="205"/>
      <c r="H367" s="197"/>
      <c r="W367" s="194"/>
      <c r="X367"/>
      <c r="Y367" s="4"/>
      <c r="Z367" s="4"/>
      <c r="AA367"/>
      <c r="AB367"/>
      <c r="AC367"/>
    </row>
    <row r="368" spans="1:43" ht="16.5" x14ac:dyDescent="0.25">
      <c r="A368" s="251" t="s">
        <v>1</v>
      </c>
      <c r="B368" s="151" t="str">
        <f>$B$5</f>
        <v>RM</v>
      </c>
      <c r="C368" s="151" t="str">
        <f>$C$5</f>
        <v>RF</v>
      </c>
      <c r="D368" s="151" t="str">
        <f>$D$5</f>
        <v>Accts</v>
      </c>
      <c r="E368" s="151"/>
      <c r="F368" s="151" t="str">
        <f>$F$5</f>
        <v>Share DD</v>
      </c>
      <c r="G368" s="210" t="str">
        <f>$G$5</f>
        <v xml:space="preserve">2022 Share </v>
      </c>
      <c r="H368" s="211" t="str">
        <f>$H$5</f>
        <v xml:space="preserve">2022 Paid </v>
      </c>
      <c r="I368" s="211" t="str">
        <f>$I$5</f>
        <v xml:space="preserve">% Paid </v>
      </c>
      <c r="J368" s="212">
        <f>$J$5</f>
        <v>44592</v>
      </c>
      <c r="K368" s="212">
        <f>$K$5</f>
        <v>44620</v>
      </c>
      <c r="L368" s="212">
        <f>$L$5</f>
        <v>44651</v>
      </c>
      <c r="M368" s="212">
        <f>$M$5</f>
        <v>44681</v>
      </c>
      <c r="N368" s="212">
        <f>$N$5</f>
        <v>44712</v>
      </c>
      <c r="O368" s="212">
        <f>$O$5</f>
        <v>44742</v>
      </c>
      <c r="P368" s="212">
        <f>$P$5</f>
        <v>44773</v>
      </c>
      <c r="Q368" s="212">
        <f>$Q$5</f>
        <v>44804</v>
      </c>
      <c r="R368" s="212">
        <f>$R$5</f>
        <v>44834</v>
      </c>
      <c r="S368" s="155">
        <f>$S$5</f>
        <v>44865</v>
      </c>
      <c r="T368" s="155">
        <f>$T$5</f>
        <v>44895</v>
      </c>
      <c r="U368" s="155">
        <f>$U$5</f>
        <v>44926</v>
      </c>
      <c r="V368" s="78"/>
      <c r="W368" s="195" t="str">
        <f>$W$5</f>
        <v xml:space="preserve">Outstanding </v>
      </c>
      <c r="X368" s="2"/>
      <c r="Y368" s="4"/>
      <c r="Z368" s="4"/>
      <c r="AA368" s="2">
        <f>$AA$5</f>
        <v>44957</v>
      </c>
      <c r="AB368" s="2">
        <f>$AB$5</f>
        <v>44985</v>
      </c>
      <c r="AC368" s="2">
        <f>$AC$5</f>
        <v>45016</v>
      </c>
      <c r="AE368" s="152" t="str">
        <f>$AE$5</f>
        <v>Benefice</v>
      </c>
      <c r="AH368" s="16" t="s">
        <v>1141</v>
      </c>
      <c r="AJ368" s="170" t="s">
        <v>1140</v>
      </c>
      <c r="AQ368" s="222">
        <f>AQ5</f>
        <v>44588</v>
      </c>
    </row>
    <row r="369" spans="1:45" ht="16.5" x14ac:dyDescent="0.25">
      <c r="A369" s="250"/>
      <c r="G369" s="201" t="s">
        <v>1040</v>
      </c>
      <c r="H369" s="202" t="s">
        <v>1040</v>
      </c>
      <c r="I369" s="203"/>
      <c r="J369" s="202" t="s">
        <v>1040</v>
      </c>
      <c r="K369" s="202" t="s">
        <v>1040</v>
      </c>
      <c r="L369" s="202" t="s">
        <v>1040</v>
      </c>
      <c r="M369" s="202" t="s">
        <v>1040</v>
      </c>
      <c r="N369" s="202" t="s">
        <v>1040</v>
      </c>
      <c r="O369" s="202" t="s">
        <v>1040</v>
      </c>
      <c r="P369" s="202" t="s">
        <v>1040</v>
      </c>
      <c r="Q369" s="202" t="s">
        <v>1040</v>
      </c>
      <c r="R369" s="202" t="s">
        <v>1040</v>
      </c>
      <c r="S369" s="147" t="s">
        <v>1040</v>
      </c>
      <c r="T369" s="147" t="s">
        <v>1040</v>
      </c>
      <c r="U369" s="147" t="s">
        <v>1040</v>
      </c>
      <c r="W369" s="194"/>
      <c r="X369"/>
      <c r="Y369" s="4"/>
      <c r="Z369" s="4"/>
      <c r="AA369"/>
      <c r="AB369"/>
      <c r="AC369"/>
      <c r="AJ369" s="23"/>
    </row>
    <row r="370" spans="1:45" x14ac:dyDescent="0.2">
      <c r="Y370" s="4"/>
      <c r="Z370" s="4"/>
      <c r="AJ370" s="23"/>
    </row>
    <row r="371" spans="1:45" x14ac:dyDescent="0.2">
      <c r="A371" s="226" t="s">
        <v>264</v>
      </c>
      <c r="B371" s="9" t="s">
        <v>495</v>
      </c>
      <c r="C371" s="9">
        <v>0</v>
      </c>
      <c r="D371" s="9">
        <v>0</v>
      </c>
      <c r="E371" s="9"/>
      <c r="F371" s="9" t="s">
        <v>495</v>
      </c>
      <c r="G371" s="83">
        <v>9222</v>
      </c>
      <c r="H371" s="83">
        <f t="shared" ref="H371:H404" si="84">SUM(J371:U371)+SUM(AA371:AC371)</f>
        <v>4611</v>
      </c>
      <c r="I371" s="133">
        <f t="shared" ref="I371:I404" si="85">ROUND((H371/G371),4)</f>
        <v>0.5</v>
      </c>
      <c r="J371" s="82"/>
      <c r="K371" s="82"/>
      <c r="L371" s="82"/>
      <c r="M371" s="82"/>
      <c r="N371" s="82"/>
      <c r="O371" s="82"/>
      <c r="P371" s="82"/>
      <c r="Q371" s="82"/>
      <c r="R371" s="82"/>
      <c r="S371" s="23">
        <v>4611</v>
      </c>
      <c r="T371" s="23"/>
      <c r="U371" s="23"/>
      <c r="V371" s="7" t="s">
        <v>744</v>
      </c>
      <c r="W371" s="82">
        <f t="shared" ref="W371:W404" si="86">G371-H371</f>
        <v>4611</v>
      </c>
      <c r="Y371" s="4"/>
      <c r="Z371" s="4"/>
      <c r="AA371" s="82"/>
      <c r="AB371" s="82"/>
      <c r="AC371" s="82"/>
      <c r="AD371" s="23"/>
      <c r="AE371" s="7" t="s">
        <v>465</v>
      </c>
      <c r="AH371" s="23">
        <f>SUM('2021 Detail'!J355:U355)+SUM('2021 Detail'!AA355:AC355)</f>
        <v>4201</v>
      </c>
      <c r="AJ371" s="23">
        <f t="shared" si="78"/>
        <v>410</v>
      </c>
      <c r="AL371" t="str">
        <f t="shared" ref="AL371:AL404" si="87">IF(AJ371&lt;0,"Down",IF(AJ371&gt;0,"Up","Same"))</f>
        <v>Up</v>
      </c>
      <c r="AQ371" s="23">
        <v>4000</v>
      </c>
    </row>
    <row r="372" spans="1:45" x14ac:dyDescent="0.2">
      <c r="A372" s="226" t="s">
        <v>265</v>
      </c>
      <c r="B372" s="9" t="s">
        <v>495</v>
      </c>
      <c r="C372" s="9" t="s">
        <v>495</v>
      </c>
      <c r="D372" s="9" t="s">
        <v>495</v>
      </c>
      <c r="E372" s="9"/>
      <c r="F372" s="9">
        <v>0</v>
      </c>
      <c r="G372" s="83">
        <v>4369</v>
      </c>
      <c r="H372" s="83">
        <f t="shared" si="84"/>
        <v>4369</v>
      </c>
      <c r="I372" s="133">
        <f t="shared" si="85"/>
        <v>1</v>
      </c>
      <c r="J372" s="82"/>
      <c r="K372" s="82"/>
      <c r="L372" s="82"/>
      <c r="M372" s="82">
        <v>4369</v>
      </c>
      <c r="N372" s="82"/>
      <c r="O372" s="82"/>
      <c r="P372" s="82"/>
      <c r="Q372" s="82"/>
      <c r="R372" s="82"/>
      <c r="S372" s="23"/>
      <c r="T372" s="23"/>
      <c r="U372" s="23"/>
      <c r="V372" s="7" t="s">
        <v>745</v>
      </c>
      <c r="W372" s="82">
        <f t="shared" si="86"/>
        <v>0</v>
      </c>
      <c r="Y372" s="4"/>
      <c r="Z372" s="4"/>
      <c r="AA372" s="82"/>
      <c r="AB372" s="82"/>
      <c r="AC372" s="82"/>
      <c r="AD372" s="23"/>
      <c r="AE372" s="7" t="s">
        <v>465</v>
      </c>
      <c r="AH372" s="23">
        <f>SUM('2021 Detail'!J356:U356)+SUM('2021 Detail'!AA356:AC356)</f>
        <v>4369</v>
      </c>
      <c r="AJ372" s="23">
        <f t="shared" si="78"/>
        <v>0</v>
      </c>
      <c r="AL372" t="str">
        <f t="shared" si="87"/>
        <v>Same</v>
      </c>
    </row>
    <row r="373" spans="1:45" x14ac:dyDescent="0.2">
      <c r="A373" s="226" t="s">
        <v>266</v>
      </c>
      <c r="B373" s="9" t="s">
        <v>495</v>
      </c>
      <c r="C373" s="9">
        <v>0</v>
      </c>
      <c r="D373" s="9">
        <v>0</v>
      </c>
      <c r="E373" s="9"/>
      <c r="F373" s="9" t="s">
        <v>495</v>
      </c>
      <c r="G373" s="83">
        <v>2427</v>
      </c>
      <c r="H373" s="83">
        <f t="shared" si="84"/>
        <v>2080.29</v>
      </c>
      <c r="I373" s="133">
        <f t="shared" si="85"/>
        <v>0.85709999999999997</v>
      </c>
      <c r="J373" s="82"/>
      <c r="K373" s="82"/>
      <c r="L373" s="82"/>
      <c r="M373" s="82"/>
      <c r="N373" s="82"/>
      <c r="O373" s="82">
        <v>346.74</v>
      </c>
      <c r="P373" s="82">
        <v>346.71</v>
      </c>
      <c r="Q373" s="82">
        <v>346.71</v>
      </c>
      <c r="R373" s="82">
        <v>346.71</v>
      </c>
      <c r="S373" s="23">
        <v>346.71</v>
      </c>
      <c r="T373" s="23">
        <v>346.71</v>
      </c>
      <c r="U373" s="23">
        <v>0</v>
      </c>
      <c r="V373" s="7" t="s">
        <v>746</v>
      </c>
      <c r="W373" s="82">
        <f t="shared" si="86"/>
        <v>346.71000000000004</v>
      </c>
      <c r="Y373" s="4"/>
      <c r="Z373" s="4"/>
      <c r="AA373" s="82"/>
      <c r="AB373" s="82"/>
      <c r="AC373" s="82"/>
      <c r="AD373" s="23"/>
      <c r="AE373" s="7" t="s">
        <v>465</v>
      </c>
      <c r="AH373" s="23">
        <f>SUM('2021 Detail'!J357:U357)+SUM('2021 Detail'!AA357:AC357)</f>
        <v>1820.25</v>
      </c>
      <c r="AJ373" s="23">
        <f t="shared" si="78"/>
        <v>260.03999999999996</v>
      </c>
      <c r="AL373" t="str">
        <f t="shared" si="87"/>
        <v>Up</v>
      </c>
    </row>
    <row r="374" spans="1:45" x14ac:dyDescent="0.2">
      <c r="A374" s="226" t="s">
        <v>267</v>
      </c>
      <c r="B374" s="9" t="s">
        <v>495</v>
      </c>
      <c r="C374" s="9" t="s">
        <v>495</v>
      </c>
      <c r="D374" s="9" t="s">
        <v>495</v>
      </c>
      <c r="E374" s="9"/>
      <c r="F374" s="9">
        <v>0</v>
      </c>
      <c r="G374" s="83">
        <v>6795</v>
      </c>
      <c r="H374" s="83">
        <f t="shared" si="84"/>
        <v>3200</v>
      </c>
      <c r="I374" s="133">
        <f t="shared" si="85"/>
        <v>0.47089999999999999</v>
      </c>
      <c r="J374" s="82"/>
      <c r="K374" s="82"/>
      <c r="L374" s="82"/>
      <c r="M374" s="82"/>
      <c r="N374" s="82"/>
      <c r="O374" s="82"/>
      <c r="P374" s="82"/>
      <c r="Q374" s="82"/>
      <c r="R374" s="82"/>
      <c r="S374" s="23"/>
      <c r="T374" s="23"/>
      <c r="U374" s="23">
        <v>3200</v>
      </c>
      <c r="V374" s="7" t="s">
        <v>747</v>
      </c>
      <c r="W374" s="82">
        <f t="shared" si="86"/>
        <v>3595</v>
      </c>
      <c r="Y374" s="4"/>
      <c r="Z374" s="4"/>
      <c r="AA374" s="82"/>
      <c r="AB374" s="82"/>
      <c r="AC374" s="82"/>
      <c r="AD374" s="23"/>
      <c r="AE374" s="7" t="s">
        <v>465</v>
      </c>
      <c r="AH374" s="23">
        <f>SUM('2021 Detail'!J358:U358)+SUM('2021 Detail'!AA358:AC358)</f>
        <v>3250</v>
      </c>
      <c r="AJ374" s="23">
        <f t="shared" si="78"/>
        <v>-50</v>
      </c>
      <c r="AL374" t="str">
        <f t="shared" si="87"/>
        <v>Down</v>
      </c>
      <c r="AQ374" s="23">
        <v>3250</v>
      </c>
    </row>
    <row r="375" spans="1:45" x14ac:dyDescent="0.2">
      <c r="A375" s="226" t="s">
        <v>268</v>
      </c>
      <c r="B375" s="9" t="s">
        <v>495</v>
      </c>
      <c r="C375" s="9">
        <v>0</v>
      </c>
      <c r="D375" s="9">
        <v>0</v>
      </c>
      <c r="E375" s="9"/>
      <c r="F375" s="9">
        <v>0</v>
      </c>
      <c r="G375" s="83">
        <v>4853</v>
      </c>
      <c r="H375" s="83">
        <f t="shared" si="84"/>
        <v>3000</v>
      </c>
      <c r="I375" s="133">
        <f t="shared" si="85"/>
        <v>0.61819999999999997</v>
      </c>
      <c r="J375" s="82"/>
      <c r="K375" s="82"/>
      <c r="L375" s="82"/>
      <c r="M375" s="82"/>
      <c r="N375" s="82"/>
      <c r="O375" s="82"/>
      <c r="P375" s="82"/>
      <c r="Q375" s="82"/>
      <c r="R375" s="82"/>
      <c r="S375" s="23"/>
      <c r="T375" s="23"/>
      <c r="U375" s="23">
        <v>3000</v>
      </c>
      <c r="V375" s="7" t="s">
        <v>748</v>
      </c>
      <c r="W375" s="82">
        <f t="shared" si="86"/>
        <v>1853</v>
      </c>
      <c r="Y375" s="4"/>
      <c r="Z375" s="4"/>
      <c r="AA375" s="82"/>
      <c r="AB375" s="82"/>
      <c r="AC375" s="82"/>
      <c r="AD375" s="23"/>
      <c r="AE375" s="7" t="s">
        <v>465</v>
      </c>
      <c r="AH375" s="23">
        <f>SUM('2021 Detail'!J359:U359)+SUM('2021 Detail'!AA359:AC359)</f>
        <v>3400</v>
      </c>
      <c r="AJ375" s="23">
        <f t="shared" si="78"/>
        <v>-400</v>
      </c>
      <c r="AL375" t="str">
        <f t="shared" si="87"/>
        <v>Down</v>
      </c>
      <c r="AQ375" s="23">
        <v>3400</v>
      </c>
    </row>
    <row r="376" spans="1:45" x14ac:dyDescent="0.2">
      <c r="A376" s="226" t="s">
        <v>269</v>
      </c>
      <c r="B376" s="9" t="s">
        <v>495</v>
      </c>
      <c r="C376" s="9" t="s">
        <v>495</v>
      </c>
      <c r="D376" s="9">
        <v>0</v>
      </c>
      <c r="E376" s="9"/>
      <c r="F376" s="9">
        <v>0</v>
      </c>
      <c r="G376" s="83">
        <v>24684</v>
      </c>
      <c r="H376" s="83">
        <f t="shared" si="84"/>
        <v>6000</v>
      </c>
      <c r="I376" s="133">
        <f t="shared" si="85"/>
        <v>0.24310000000000001</v>
      </c>
      <c r="J376" s="82">
        <v>500</v>
      </c>
      <c r="K376" s="82">
        <v>500</v>
      </c>
      <c r="L376" s="82">
        <v>500</v>
      </c>
      <c r="M376" s="82">
        <v>500</v>
      </c>
      <c r="N376" s="82">
        <v>500</v>
      </c>
      <c r="O376" s="82">
        <v>500</v>
      </c>
      <c r="P376" s="82">
        <v>500</v>
      </c>
      <c r="Q376" s="82">
        <v>500</v>
      </c>
      <c r="R376" s="82">
        <v>500</v>
      </c>
      <c r="S376" s="23">
        <v>500</v>
      </c>
      <c r="T376" s="23">
        <v>500</v>
      </c>
      <c r="U376" s="23">
        <v>500</v>
      </c>
      <c r="V376" s="7" t="s">
        <v>749</v>
      </c>
      <c r="W376" s="82">
        <f t="shared" si="86"/>
        <v>18684</v>
      </c>
      <c r="Y376" s="4"/>
      <c r="Z376" s="4"/>
      <c r="AA376" s="82"/>
      <c r="AB376" s="82"/>
      <c r="AC376" s="82"/>
      <c r="AD376" s="23"/>
      <c r="AE376" s="7" t="s">
        <v>467</v>
      </c>
      <c r="AH376" s="23">
        <f>SUM('2021 Detail'!J360:U360)+SUM('2021 Detail'!AA360:AC360)</f>
        <v>8000</v>
      </c>
      <c r="AJ376" s="23">
        <f t="shared" si="78"/>
        <v>-2000</v>
      </c>
      <c r="AL376" t="str">
        <f t="shared" si="87"/>
        <v>Down</v>
      </c>
      <c r="AQ376" s="23">
        <v>2500</v>
      </c>
    </row>
    <row r="377" spans="1:45" x14ac:dyDescent="0.2">
      <c r="A377" s="226" t="s">
        <v>270</v>
      </c>
      <c r="B377" s="9" t="s">
        <v>495</v>
      </c>
      <c r="C377" s="9" t="s">
        <v>495</v>
      </c>
      <c r="D377" s="9">
        <v>0</v>
      </c>
      <c r="E377" s="9"/>
      <c r="F377" s="9">
        <v>0</v>
      </c>
      <c r="G377" s="83">
        <v>5551</v>
      </c>
      <c r="H377" s="83">
        <f t="shared" si="84"/>
        <v>5551</v>
      </c>
      <c r="I377" s="133">
        <f t="shared" si="85"/>
        <v>1</v>
      </c>
      <c r="J377" s="82"/>
      <c r="K377" s="82"/>
      <c r="L377" s="82"/>
      <c r="M377" s="82"/>
      <c r="N377" s="82"/>
      <c r="O377" s="82"/>
      <c r="P377" s="82"/>
      <c r="Q377" s="82"/>
      <c r="R377" s="82">
        <v>3500</v>
      </c>
      <c r="S377" s="23"/>
      <c r="T377" s="23"/>
      <c r="U377" s="23">
        <v>2051</v>
      </c>
      <c r="V377" s="7" t="s">
        <v>750</v>
      </c>
      <c r="W377" s="82">
        <f t="shared" si="86"/>
        <v>0</v>
      </c>
      <c r="Y377" s="4"/>
      <c r="Z377" s="4"/>
      <c r="AA377" s="82"/>
      <c r="AB377" s="82"/>
      <c r="AC377" s="82"/>
      <c r="AD377" s="23"/>
      <c r="AE377" s="7" t="s">
        <v>467</v>
      </c>
      <c r="AH377" s="23">
        <f>SUM('2021 Detail'!J361:U361)+SUM('2021 Detail'!AA361:AC361)</f>
        <v>5551</v>
      </c>
      <c r="AJ377" s="23">
        <f t="shared" si="78"/>
        <v>0</v>
      </c>
      <c r="AL377" t="str">
        <f t="shared" si="87"/>
        <v>Same</v>
      </c>
      <c r="AQ377" s="23">
        <v>2551</v>
      </c>
    </row>
    <row r="378" spans="1:45" x14ac:dyDescent="0.2">
      <c r="A378" s="226" t="s">
        <v>271</v>
      </c>
      <c r="B378" s="9" t="s">
        <v>495</v>
      </c>
      <c r="C378" s="9" t="s">
        <v>495</v>
      </c>
      <c r="D378" s="9">
        <v>0</v>
      </c>
      <c r="E378" s="9"/>
      <c r="F378" s="9">
        <v>0</v>
      </c>
      <c r="G378" s="83">
        <v>4478</v>
      </c>
      <c r="H378" s="83">
        <f t="shared" si="84"/>
        <v>3582.4</v>
      </c>
      <c r="I378" s="133">
        <f t="shared" si="85"/>
        <v>0.8</v>
      </c>
      <c r="J378" s="82"/>
      <c r="K378" s="82"/>
      <c r="L378" s="82"/>
      <c r="M378" s="82"/>
      <c r="N378" s="82"/>
      <c r="O378" s="82"/>
      <c r="P378" s="82"/>
      <c r="Q378" s="82"/>
      <c r="R378" s="82"/>
      <c r="S378" s="23"/>
      <c r="T378" s="23">
        <v>3582.4</v>
      </c>
      <c r="U378" s="23"/>
      <c r="V378" s="7" t="s">
        <v>751</v>
      </c>
      <c r="W378" s="82">
        <f t="shared" si="86"/>
        <v>895.59999999999991</v>
      </c>
      <c r="Y378" s="4"/>
      <c r="Z378" s="4"/>
      <c r="AA378" s="82"/>
      <c r="AB378" s="82"/>
      <c r="AC378" s="82"/>
      <c r="AD378" s="23"/>
      <c r="AE378" s="7" t="s">
        <v>467</v>
      </c>
      <c r="AH378" s="23">
        <f>SUM('2021 Detail'!J362:U362)+SUM('2021 Detail'!AA362:AC362)</f>
        <v>4478</v>
      </c>
      <c r="AJ378" s="23">
        <f t="shared" si="78"/>
        <v>-895.59999999999991</v>
      </c>
      <c r="AL378" t="str">
        <f t="shared" si="87"/>
        <v>Down</v>
      </c>
    </row>
    <row r="379" spans="1:45" x14ac:dyDescent="0.2">
      <c r="A379" s="226" t="s">
        <v>272</v>
      </c>
      <c r="B379" s="9">
        <v>0</v>
      </c>
      <c r="C379" s="9">
        <v>0</v>
      </c>
      <c r="D379" s="9">
        <v>0</v>
      </c>
      <c r="E379" s="9"/>
      <c r="F379" s="9" t="s">
        <v>495</v>
      </c>
      <c r="G379" s="83">
        <v>13480</v>
      </c>
      <c r="H379" s="83">
        <f t="shared" si="84"/>
        <v>6740</v>
      </c>
      <c r="I379" s="133">
        <f t="shared" si="85"/>
        <v>0.5</v>
      </c>
      <c r="J379" s="82">
        <v>3370</v>
      </c>
      <c r="K379" s="82"/>
      <c r="L379" s="82"/>
      <c r="M379" s="82"/>
      <c r="N379" s="82"/>
      <c r="O379" s="82"/>
      <c r="P379" s="82"/>
      <c r="Q379" s="82"/>
      <c r="R379" s="82"/>
      <c r="S379" s="23">
        <v>3370</v>
      </c>
      <c r="T379" s="23"/>
      <c r="U379" s="23"/>
      <c r="V379" s="7" t="s">
        <v>752</v>
      </c>
      <c r="W379" s="82">
        <f t="shared" si="86"/>
        <v>6740</v>
      </c>
      <c r="Y379" s="4"/>
      <c r="Z379" s="4"/>
      <c r="AA379" s="82"/>
      <c r="AB379" s="82"/>
      <c r="AC379" s="82"/>
      <c r="AD379" s="23"/>
      <c r="AE379" s="7" t="s">
        <v>466</v>
      </c>
      <c r="AH379" s="23">
        <f>SUM('2021 Detail'!J363:U363)+SUM('2021 Detail'!AA363:AC363)</f>
        <v>6740</v>
      </c>
      <c r="AJ379" s="23">
        <f t="shared" si="78"/>
        <v>0</v>
      </c>
      <c r="AL379" t="str">
        <f t="shared" si="87"/>
        <v>Same</v>
      </c>
    </row>
    <row r="380" spans="1:45" x14ac:dyDescent="0.2">
      <c r="A380" s="226" t="s">
        <v>273</v>
      </c>
      <c r="B380" s="9">
        <v>0</v>
      </c>
      <c r="C380" s="9">
        <v>0</v>
      </c>
      <c r="D380" s="9">
        <v>0</v>
      </c>
      <c r="E380" s="9"/>
      <c r="F380" s="9">
        <v>0</v>
      </c>
      <c r="G380" s="83">
        <v>6336</v>
      </c>
      <c r="H380" s="83">
        <f t="shared" si="84"/>
        <v>4000</v>
      </c>
      <c r="I380" s="133">
        <f t="shared" si="85"/>
        <v>0.63129999999999997</v>
      </c>
      <c r="J380" s="82"/>
      <c r="K380" s="82"/>
      <c r="L380" s="82"/>
      <c r="M380" s="82">
        <v>2000</v>
      </c>
      <c r="N380" s="82"/>
      <c r="O380" s="82"/>
      <c r="P380" s="82"/>
      <c r="Q380" s="82"/>
      <c r="R380" s="82">
        <v>2000</v>
      </c>
      <c r="S380" s="23"/>
      <c r="T380" s="23"/>
      <c r="U380" s="23"/>
      <c r="V380" s="7" t="s">
        <v>753</v>
      </c>
      <c r="W380" s="82">
        <f t="shared" si="86"/>
        <v>2336</v>
      </c>
      <c r="Y380" s="4"/>
      <c r="Z380" s="4"/>
      <c r="AA380" s="82"/>
      <c r="AB380" s="82"/>
      <c r="AC380" s="82"/>
      <c r="AD380" s="23"/>
      <c r="AE380" s="7" t="s">
        <v>468</v>
      </c>
      <c r="AH380" s="23">
        <f>SUM('2021 Detail'!J364:U364)+SUM('2021 Detail'!AA364:AC364)</f>
        <v>6338</v>
      </c>
      <c r="AJ380" s="23">
        <f t="shared" si="78"/>
        <v>-2338</v>
      </c>
      <c r="AL380" t="str">
        <f t="shared" si="87"/>
        <v>Down</v>
      </c>
    </row>
    <row r="381" spans="1:45" x14ac:dyDescent="0.2">
      <c r="A381" s="226" t="s">
        <v>274</v>
      </c>
      <c r="B381" s="9" t="s">
        <v>495</v>
      </c>
      <c r="C381" s="9">
        <v>0</v>
      </c>
      <c r="D381" s="9">
        <v>0</v>
      </c>
      <c r="E381" s="9"/>
      <c r="F381" s="9" t="s">
        <v>495</v>
      </c>
      <c r="G381" s="83">
        <v>15340</v>
      </c>
      <c r="H381" s="83">
        <f t="shared" si="84"/>
        <v>15339.999999999998</v>
      </c>
      <c r="I381" s="133">
        <f t="shared" si="85"/>
        <v>1</v>
      </c>
      <c r="J381" s="82">
        <v>1278.3699999999999</v>
      </c>
      <c r="K381" s="82">
        <v>1278.33</v>
      </c>
      <c r="L381" s="82">
        <v>1278.33</v>
      </c>
      <c r="M381" s="82">
        <v>1278.33</v>
      </c>
      <c r="N381" s="82">
        <v>1278.33</v>
      </c>
      <c r="O381" s="82">
        <v>1278.33</v>
      </c>
      <c r="P381" s="82">
        <v>1278.33</v>
      </c>
      <c r="Q381" s="82">
        <v>1278.33</v>
      </c>
      <c r="R381" s="82">
        <v>1278.33</v>
      </c>
      <c r="S381" s="23">
        <v>1278.33</v>
      </c>
      <c r="T381" s="23">
        <v>1278.33</v>
      </c>
      <c r="U381" s="23">
        <v>1278.33</v>
      </c>
      <c r="V381" s="7" t="s">
        <v>754</v>
      </c>
      <c r="W381" s="82">
        <f t="shared" si="86"/>
        <v>0</v>
      </c>
      <c r="Y381" s="4"/>
      <c r="Z381" s="4"/>
      <c r="AA381" s="82"/>
      <c r="AB381" s="82"/>
      <c r="AC381" s="82"/>
      <c r="AD381" s="23"/>
      <c r="AE381" s="7" t="s">
        <v>466</v>
      </c>
      <c r="AH381" s="23">
        <f>SUM('2021 Detail'!J365:U365)+SUM('2021 Detail'!AA365:AC365)</f>
        <v>15339.999999999998</v>
      </c>
      <c r="AJ381" s="23">
        <f t="shared" si="78"/>
        <v>0</v>
      </c>
      <c r="AL381" t="str">
        <f t="shared" si="87"/>
        <v>Same</v>
      </c>
      <c r="AQ381" s="23">
        <v>1278.33</v>
      </c>
    </row>
    <row r="382" spans="1:45" x14ac:dyDescent="0.2">
      <c r="A382" s="226" t="s">
        <v>275</v>
      </c>
      <c r="B382" s="9">
        <v>0</v>
      </c>
      <c r="C382" s="9" t="s">
        <v>495</v>
      </c>
      <c r="D382" s="9" t="s">
        <v>495</v>
      </c>
      <c r="E382" s="9"/>
      <c r="F382" s="9" t="s">
        <v>495</v>
      </c>
      <c r="G382" s="83">
        <v>21600</v>
      </c>
      <c r="H382" s="83">
        <f t="shared" si="84"/>
        <v>16400</v>
      </c>
      <c r="I382" s="133">
        <f t="shared" si="85"/>
        <v>0.75929999999999997</v>
      </c>
      <c r="J382" s="82">
        <v>2000</v>
      </c>
      <c r="K382" s="82"/>
      <c r="L382" s="82"/>
      <c r="M382" s="82"/>
      <c r="N382" s="82">
        <v>2000</v>
      </c>
      <c r="O382" s="82">
        <v>0</v>
      </c>
      <c r="P382" s="82">
        <v>4400</v>
      </c>
      <c r="Q382" s="82"/>
      <c r="R382" s="82">
        <v>2000</v>
      </c>
      <c r="S382" s="23"/>
      <c r="T382" s="23">
        <v>3000</v>
      </c>
      <c r="U382" s="23"/>
      <c r="V382" s="7" t="s">
        <v>755</v>
      </c>
      <c r="W382" s="82">
        <f t="shared" si="86"/>
        <v>5200</v>
      </c>
      <c r="Y382" s="4"/>
      <c r="Z382" s="4"/>
      <c r="AA382" s="82">
        <v>3000</v>
      </c>
      <c r="AB382" s="82"/>
      <c r="AC382" s="82"/>
      <c r="AD382" s="23"/>
      <c r="AE382" s="7" t="s">
        <v>471</v>
      </c>
      <c r="AH382" s="23">
        <f>SUM('2021 Detail'!J366:U366)+SUM('2021 Detail'!AA366:AC366)</f>
        <v>14700</v>
      </c>
      <c r="AJ382" s="23">
        <f t="shared" si="78"/>
        <v>1700</v>
      </c>
      <c r="AL382" t="str">
        <f t="shared" si="87"/>
        <v>Up</v>
      </c>
      <c r="AQ382" s="23">
        <v>5500</v>
      </c>
      <c r="AS382" t="s">
        <v>1110</v>
      </c>
    </row>
    <row r="383" spans="1:45" x14ac:dyDescent="0.2">
      <c r="A383" s="226" t="s">
        <v>276</v>
      </c>
      <c r="B383" s="9">
        <v>0</v>
      </c>
      <c r="C383" s="9">
        <v>0</v>
      </c>
      <c r="D383" s="9">
        <v>0</v>
      </c>
      <c r="E383" s="9"/>
      <c r="F383" s="9" t="s">
        <v>495</v>
      </c>
      <c r="G383" s="83">
        <v>10050</v>
      </c>
      <c r="H383" s="83">
        <f t="shared" si="84"/>
        <v>7500</v>
      </c>
      <c r="I383" s="133">
        <f t="shared" si="85"/>
        <v>0.74629999999999996</v>
      </c>
      <c r="J383" s="82"/>
      <c r="K383" s="82">
        <v>1500</v>
      </c>
      <c r="L383" s="82"/>
      <c r="M383" s="82"/>
      <c r="N383" s="82"/>
      <c r="O383" s="82"/>
      <c r="P383" s="82"/>
      <c r="Q383" s="82"/>
      <c r="R383" s="82">
        <v>1500</v>
      </c>
      <c r="S383" s="23"/>
      <c r="T383" s="23">
        <v>2000</v>
      </c>
      <c r="U383" s="23">
        <v>2500</v>
      </c>
      <c r="V383" s="7" t="s">
        <v>756</v>
      </c>
      <c r="W383" s="82">
        <f t="shared" si="86"/>
        <v>2550</v>
      </c>
      <c r="Y383" s="4"/>
      <c r="Z383" s="4"/>
      <c r="AA383" s="82"/>
      <c r="AB383" s="82"/>
      <c r="AC383" s="82"/>
      <c r="AD383" s="23"/>
      <c r="AE383" s="7" t="s">
        <v>471</v>
      </c>
      <c r="AH383" s="23">
        <f>SUM('2021 Detail'!J367:U367)+SUM('2021 Detail'!AA367:AC367)</f>
        <v>10050</v>
      </c>
      <c r="AJ383" s="23">
        <f t="shared" si="78"/>
        <v>-2550</v>
      </c>
      <c r="AL383" t="str">
        <f t="shared" si="87"/>
        <v>Down</v>
      </c>
      <c r="AQ383" s="23">
        <v>4050</v>
      </c>
    </row>
    <row r="384" spans="1:45" x14ac:dyDescent="0.2">
      <c r="A384" s="226" t="s">
        <v>277</v>
      </c>
      <c r="B384" s="9">
        <v>0</v>
      </c>
      <c r="C384" s="9">
        <v>0</v>
      </c>
      <c r="D384" s="9" t="s">
        <v>495</v>
      </c>
      <c r="E384" s="9"/>
      <c r="F384" s="9">
        <v>0</v>
      </c>
      <c r="G384" s="83">
        <v>13350</v>
      </c>
      <c r="H384" s="83">
        <f t="shared" si="84"/>
        <v>0</v>
      </c>
      <c r="I384" s="133">
        <f t="shared" si="85"/>
        <v>0</v>
      </c>
      <c r="J384" s="82"/>
      <c r="K384" s="82"/>
      <c r="L384" s="82"/>
      <c r="M384" s="82"/>
      <c r="N384" s="82"/>
      <c r="O384" s="82"/>
      <c r="P384" s="82"/>
      <c r="Q384" s="82"/>
      <c r="R384" s="82"/>
      <c r="S384" s="23"/>
      <c r="T384" s="23"/>
      <c r="U384" s="23"/>
      <c r="V384" s="7" t="s">
        <v>757</v>
      </c>
      <c r="W384" s="82">
        <f t="shared" si="86"/>
        <v>13350</v>
      </c>
      <c r="Y384" s="4"/>
      <c r="Z384" s="4"/>
      <c r="AA384" s="82"/>
      <c r="AB384" s="82"/>
      <c r="AC384" s="82"/>
      <c r="AD384" s="23"/>
      <c r="AE384" s="7" t="s">
        <v>471</v>
      </c>
      <c r="AH384" s="23">
        <f>SUM('2021 Detail'!J368:U368)+SUM('2021 Detail'!AA368:AC368)</f>
        <v>0</v>
      </c>
      <c r="AJ384" s="23">
        <f t="shared" si="78"/>
        <v>0</v>
      </c>
      <c r="AL384" t="str">
        <f t="shared" si="87"/>
        <v>Same</v>
      </c>
    </row>
    <row r="385" spans="1:43" x14ac:dyDescent="0.2">
      <c r="A385" s="226" t="s">
        <v>278</v>
      </c>
      <c r="B385" s="9" t="s">
        <v>495</v>
      </c>
      <c r="C385" s="9" t="s">
        <v>495</v>
      </c>
      <c r="D385" s="9" t="s">
        <v>495</v>
      </c>
      <c r="E385" s="9"/>
      <c r="F385" s="9" t="s">
        <v>495</v>
      </c>
      <c r="G385" s="83">
        <v>128728</v>
      </c>
      <c r="H385" s="83">
        <f t="shared" si="84"/>
        <v>128728.00000000001</v>
      </c>
      <c r="I385" s="133">
        <f t="shared" si="85"/>
        <v>1</v>
      </c>
      <c r="J385" s="82">
        <v>10727.37</v>
      </c>
      <c r="K385" s="82">
        <v>10727.33</v>
      </c>
      <c r="L385" s="82">
        <v>10727.33</v>
      </c>
      <c r="M385" s="82">
        <v>10727.33</v>
      </c>
      <c r="N385" s="82">
        <v>10727.33</v>
      </c>
      <c r="O385" s="82">
        <v>10727.33</v>
      </c>
      <c r="P385" s="82">
        <v>10727.33</v>
      </c>
      <c r="Q385" s="82">
        <v>10727.33</v>
      </c>
      <c r="R385" s="82">
        <v>10727.33</v>
      </c>
      <c r="S385" s="23">
        <v>10727.33</v>
      </c>
      <c r="T385" s="23">
        <v>10727.33</v>
      </c>
      <c r="U385" s="23">
        <v>10727.33</v>
      </c>
      <c r="V385" s="7" t="s">
        <v>758</v>
      </c>
      <c r="W385" s="82">
        <f t="shared" si="86"/>
        <v>0</v>
      </c>
      <c r="Y385" s="4"/>
      <c r="Z385" s="4"/>
      <c r="AA385" s="82"/>
      <c r="AB385" s="82"/>
      <c r="AC385" s="82"/>
      <c r="AD385" s="23"/>
      <c r="AE385" s="7" t="s">
        <v>466</v>
      </c>
      <c r="AH385" s="23">
        <f>SUM('2021 Detail'!J369:U369)+SUM('2021 Detail'!AA369:AC369)</f>
        <v>128728.00000000001</v>
      </c>
      <c r="AJ385" s="23">
        <f t="shared" si="78"/>
        <v>0</v>
      </c>
      <c r="AL385" t="str">
        <f t="shared" si="87"/>
        <v>Same</v>
      </c>
      <c r="AQ385" s="23">
        <v>10727.33</v>
      </c>
    </row>
    <row r="386" spans="1:43" x14ac:dyDescent="0.2">
      <c r="A386" s="226" t="s">
        <v>279</v>
      </c>
      <c r="B386" s="9" t="s">
        <v>495</v>
      </c>
      <c r="C386" s="9" t="s">
        <v>495</v>
      </c>
      <c r="D386" s="9">
        <v>0</v>
      </c>
      <c r="E386" s="9"/>
      <c r="F386" s="9">
        <v>0</v>
      </c>
      <c r="G386" s="83">
        <v>19898</v>
      </c>
      <c r="H386" s="83">
        <f t="shared" si="84"/>
        <v>15000</v>
      </c>
      <c r="I386" s="133">
        <f t="shared" si="85"/>
        <v>0.75380000000000003</v>
      </c>
      <c r="J386" s="82"/>
      <c r="K386" s="82"/>
      <c r="L386" s="82"/>
      <c r="M386" s="82"/>
      <c r="N386" s="82"/>
      <c r="O386" s="82"/>
      <c r="P386" s="82">
        <v>5000</v>
      </c>
      <c r="Q386" s="82"/>
      <c r="R386" s="82"/>
      <c r="S386" s="23"/>
      <c r="T386" s="23">
        <v>5000</v>
      </c>
      <c r="U386" s="23">
        <v>5000</v>
      </c>
      <c r="V386" s="7" t="s">
        <v>759</v>
      </c>
      <c r="W386" s="82">
        <f t="shared" si="86"/>
        <v>4898</v>
      </c>
      <c r="Y386" s="4"/>
      <c r="Z386" s="4"/>
      <c r="AA386" s="82"/>
      <c r="AB386" s="82"/>
      <c r="AC386" s="82"/>
      <c r="AD386" s="23"/>
      <c r="AE386" s="7" t="s">
        <v>467</v>
      </c>
      <c r="AH386" s="23">
        <f>SUM('2021 Detail'!J370:U370)+SUM('2021 Detail'!AA370:AC370)</f>
        <v>19898</v>
      </c>
      <c r="AJ386" s="23">
        <f t="shared" si="78"/>
        <v>-4898</v>
      </c>
      <c r="AL386" t="str">
        <f t="shared" si="87"/>
        <v>Down</v>
      </c>
      <c r="AQ386" s="23">
        <v>4898</v>
      </c>
    </row>
    <row r="387" spans="1:43" x14ac:dyDescent="0.2">
      <c r="A387" s="226" t="s">
        <v>280</v>
      </c>
      <c r="B387" s="9" t="s">
        <v>495</v>
      </c>
      <c r="C387" s="9" t="s">
        <v>495</v>
      </c>
      <c r="D387" s="9" t="s">
        <v>495</v>
      </c>
      <c r="E387" s="9"/>
      <c r="F387" s="9">
        <v>0</v>
      </c>
      <c r="G387" s="83">
        <v>7219</v>
      </c>
      <c r="H387" s="83">
        <f t="shared" si="84"/>
        <v>7219</v>
      </c>
      <c r="I387" s="133">
        <f t="shared" si="85"/>
        <v>1</v>
      </c>
      <c r="J387" s="82"/>
      <c r="K387" s="82"/>
      <c r="L387" s="82"/>
      <c r="M387" s="82"/>
      <c r="N387" s="82"/>
      <c r="O387" s="82">
        <v>3500</v>
      </c>
      <c r="P387" s="82"/>
      <c r="Q387" s="82"/>
      <c r="R387" s="82"/>
      <c r="S387" s="23"/>
      <c r="T387" s="23">
        <v>3719</v>
      </c>
      <c r="U387" s="23"/>
      <c r="V387" s="7" t="s">
        <v>760</v>
      </c>
      <c r="W387" s="82">
        <f t="shared" si="86"/>
        <v>0</v>
      </c>
      <c r="Y387" s="4"/>
      <c r="Z387" s="4"/>
      <c r="AA387" s="82"/>
      <c r="AB387" s="82"/>
      <c r="AC387" s="82"/>
      <c r="AD387" s="23"/>
      <c r="AE387" s="7" t="s">
        <v>467</v>
      </c>
      <c r="AH387" s="23">
        <f>SUM('2021 Detail'!J371:U371)+SUM('2021 Detail'!AA371:AC371)</f>
        <v>7219</v>
      </c>
      <c r="AJ387" s="23">
        <f t="shared" si="78"/>
        <v>0</v>
      </c>
      <c r="AL387" t="str">
        <f t="shared" si="87"/>
        <v>Same</v>
      </c>
    </row>
    <row r="388" spans="1:43" x14ac:dyDescent="0.2">
      <c r="A388" s="226" t="s">
        <v>281</v>
      </c>
      <c r="B388" s="9" t="s">
        <v>495</v>
      </c>
      <c r="C388" s="9" t="s">
        <v>495</v>
      </c>
      <c r="D388" s="9">
        <v>0</v>
      </c>
      <c r="E388" s="9"/>
      <c r="F388" s="9" t="s">
        <v>495</v>
      </c>
      <c r="G388" s="83">
        <v>5013</v>
      </c>
      <c r="H388" s="83">
        <f t="shared" si="84"/>
        <v>3509.1</v>
      </c>
      <c r="I388" s="133">
        <f t="shared" si="85"/>
        <v>0.7</v>
      </c>
      <c r="J388" s="82">
        <v>200</v>
      </c>
      <c r="K388" s="82">
        <v>200</v>
      </c>
      <c r="L388" s="82">
        <v>200</v>
      </c>
      <c r="M388" s="82">
        <v>200</v>
      </c>
      <c r="N388" s="82">
        <v>200</v>
      </c>
      <c r="O388" s="82">
        <v>200</v>
      </c>
      <c r="P388" s="82">
        <v>200</v>
      </c>
      <c r="Q388" s="82">
        <v>200</v>
      </c>
      <c r="R388" s="82">
        <v>200</v>
      </c>
      <c r="S388" s="23">
        <v>200</v>
      </c>
      <c r="T388" s="23">
        <v>200</v>
      </c>
      <c r="U388" s="23">
        <v>1309.0999999999999</v>
      </c>
      <c r="V388" s="7" t="s">
        <v>761</v>
      </c>
      <c r="W388" s="82">
        <f t="shared" si="86"/>
        <v>1503.9</v>
      </c>
      <c r="Y388" s="4"/>
      <c r="Z388" s="4"/>
      <c r="AA388" s="82"/>
      <c r="AB388" s="82"/>
      <c r="AC388" s="82"/>
      <c r="AD388" s="23"/>
      <c r="AE388" s="7" t="s">
        <v>467</v>
      </c>
      <c r="AH388" s="23">
        <f>SUM('2021 Detail'!J372:U372)+SUM('2021 Detail'!AA372:AC372)</f>
        <v>4511.7</v>
      </c>
      <c r="AJ388" s="23">
        <f t="shared" si="78"/>
        <v>-1002.5999999999999</v>
      </c>
      <c r="AL388" t="str">
        <f t="shared" si="87"/>
        <v>Down</v>
      </c>
      <c r="AQ388" s="23">
        <v>2311.6999999999998</v>
      </c>
    </row>
    <row r="389" spans="1:43" x14ac:dyDescent="0.2">
      <c r="A389" s="226" t="s">
        <v>282</v>
      </c>
      <c r="B389" s="9" t="s">
        <v>495</v>
      </c>
      <c r="C389" s="9">
        <v>0</v>
      </c>
      <c r="D389" s="9">
        <v>0</v>
      </c>
      <c r="E389" s="9"/>
      <c r="F389" s="9">
        <v>0</v>
      </c>
      <c r="G389" s="83">
        <v>6336</v>
      </c>
      <c r="H389" s="83">
        <f t="shared" si="84"/>
        <v>6336</v>
      </c>
      <c r="I389" s="133">
        <f t="shared" si="85"/>
        <v>1</v>
      </c>
      <c r="J389" s="82">
        <v>164</v>
      </c>
      <c r="K389" s="82"/>
      <c r="L389" s="82"/>
      <c r="M389" s="82">
        <v>1400</v>
      </c>
      <c r="N389" s="82"/>
      <c r="O389" s="82"/>
      <c r="P389" s="82"/>
      <c r="Q389" s="82">
        <v>1400</v>
      </c>
      <c r="R389" s="82">
        <v>1200</v>
      </c>
      <c r="S389" s="23"/>
      <c r="T389" s="23"/>
      <c r="U389" s="23">
        <v>2172</v>
      </c>
      <c r="V389" s="7" t="s">
        <v>762</v>
      </c>
      <c r="W389" s="82">
        <f t="shared" si="86"/>
        <v>0</v>
      </c>
      <c r="Y389" s="4"/>
      <c r="Z389" s="4"/>
      <c r="AA389" s="82"/>
      <c r="AB389" s="82"/>
      <c r="AC389" s="82"/>
      <c r="AD389" s="23"/>
      <c r="AE389" s="7" t="s">
        <v>468</v>
      </c>
      <c r="AH389" s="23">
        <f>SUM('2021 Detail'!J373:U373)+SUM('2021 Detail'!AA373:AC373)</f>
        <v>6336</v>
      </c>
      <c r="AJ389" s="23">
        <f t="shared" si="78"/>
        <v>0</v>
      </c>
      <c r="AL389" t="str">
        <f t="shared" si="87"/>
        <v>Same</v>
      </c>
      <c r="AQ389" s="23">
        <v>3936</v>
      </c>
    </row>
    <row r="390" spans="1:43" x14ac:dyDescent="0.2">
      <c r="A390" s="226" t="s">
        <v>283</v>
      </c>
      <c r="B390" s="9">
        <v>0</v>
      </c>
      <c r="C390" s="9" t="s">
        <v>495</v>
      </c>
      <c r="D390" s="9">
        <v>0</v>
      </c>
      <c r="E390" s="9"/>
      <c r="F390" s="9">
        <v>0</v>
      </c>
      <c r="G390" s="83">
        <v>6336</v>
      </c>
      <c r="H390" s="83">
        <f t="shared" si="84"/>
        <v>6336</v>
      </c>
      <c r="I390" s="133">
        <f t="shared" si="85"/>
        <v>1</v>
      </c>
      <c r="J390" s="82"/>
      <c r="K390" s="82"/>
      <c r="L390" s="82"/>
      <c r="M390" s="82"/>
      <c r="N390" s="82"/>
      <c r="O390" s="82"/>
      <c r="P390" s="82"/>
      <c r="Q390" s="82"/>
      <c r="R390" s="82"/>
      <c r="S390" s="23"/>
      <c r="T390" s="23">
        <v>6336</v>
      </c>
      <c r="U390" s="23"/>
      <c r="V390" s="7" t="s">
        <v>763</v>
      </c>
      <c r="W390" s="82">
        <f t="shared" si="86"/>
        <v>0</v>
      </c>
      <c r="Y390" s="4"/>
      <c r="Z390" s="4"/>
      <c r="AA390" s="82"/>
      <c r="AB390" s="82"/>
      <c r="AC390" s="82"/>
      <c r="AD390" s="23"/>
      <c r="AE390" s="7" t="s">
        <v>468</v>
      </c>
      <c r="AH390" s="23">
        <f>SUM('2021 Detail'!J374:U374)+SUM('2021 Detail'!AA374:AC374)</f>
        <v>6336</v>
      </c>
      <c r="AJ390" s="23">
        <f t="shared" si="78"/>
        <v>0</v>
      </c>
      <c r="AL390" t="str">
        <f t="shared" si="87"/>
        <v>Same</v>
      </c>
    </row>
    <row r="391" spans="1:43" x14ac:dyDescent="0.2">
      <c r="A391" s="226" t="s">
        <v>284</v>
      </c>
      <c r="B391" s="9" t="s">
        <v>495</v>
      </c>
      <c r="C391" s="9" t="s">
        <v>495</v>
      </c>
      <c r="D391" s="9">
        <v>0</v>
      </c>
      <c r="E391" s="9"/>
      <c r="F391" s="9">
        <v>0</v>
      </c>
      <c r="G391" s="83">
        <v>10722</v>
      </c>
      <c r="H391" s="83">
        <f t="shared" si="84"/>
        <v>10722</v>
      </c>
      <c r="I391" s="133">
        <f t="shared" si="85"/>
        <v>1</v>
      </c>
      <c r="J391" s="82"/>
      <c r="K391" s="82"/>
      <c r="L391" s="82"/>
      <c r="M391" s="82"/>
      <c r="N391" s="82"/>
      <c r="O391" s="82"/>
      <c r="P391" s="82"/>
      <c r="Q391" s="82"/>
      <c r="R391" s="82"/>
      <c r="S391" s="23"/>
      <c r="T391" s="23">
        <v>10722</v>
      </c>
      <c r="U391" s="23"/>
      <c r="V391" s="7" t="s">
        <v>764</v>
      </c>
      <c r="W391" s="82">
        <f t="shared" si="86"/>
        <v>0</v>
      </c>
      <c r="Y391" s="4"/>
      <c r="Z391" s="4"/>
      <c r="AA391" s="82"/>
      <c r="AB391" s="82"/>
      <c r="AC391" s="82"/>
      <c r="AD391" s="23"/>
      <c r="AE391" s="7" t="s">
        <v>468</v>
      </c>
      <c r="AH391" s="23">
        <f>SUM('2021 Detail'!J375:U375)+SUM('2021 Detail'!AA375:AC375)</f>
        <v>10722</v>
      </c>
      <c r="AJ391" s="23">
        <f t="shared" si="78"/>
        <v>0</v>
      </c>
      <c r="AL391" t="str">
        <f t="shared" si="87"/>
        <v>Same</v>
      </c>
      <c r="AQ391" s="23">
        <v>10722</v>
      </c>
    </row>
    <row r="392" spans="1:43" x14ac:dyDescent="0.2">
      <c r="A392" s="226" t="s">
        <v>285</v>
      </c>
      <c r="B392" s="9">
        <v>0</v>
      </c>
      <c r="C392" s="9">
        <v>0</v>
      </c>
      <c r="D392" s="9">
        <v>0</v>
      </c>
      <c r="E392" s="9"/>
      <c r="F392" s="9" t="s">
        <v>495</v>
      </c>
      <c r="G392" s="83">
        <v>19005</v>
      </c>
      <c r="H392" s="83">
        <f t="shared" si="84"/>
        <v>14253.75</v>
      </c>
      <c r="I392" s="133">
        <f t="shared" si="85"/>
        <v>0.75</v>
      </c>
      <c r="J392" s="82">
        <v>1583.75</v>
      </c>
      <c r="K392" s="82">
        <v>1583.75</v>
      </c>
      <c r="L392" s="82"/>
      <c r="M392" s="82"/>
      <c r="N392" s="82"/>
      <c r="O392" s="82">
        <v>1583.75</v>
      </c>
      <c r="P392" s="82">
        <v>1583.75</v>
      </c>
      <c r="Q392" s="82">
        <v>1583.75</v>
      </c>
      <c r="R392" s="82">
        <v>1583.75</v>
      </c>
      <c r="S392" s="23">
        <v>1583.75</v>
      </c>
      <c r="T392" s="23">
        <v>1583.75</v>
      </c>
      <c r="U392" s="23">
        <v>1583.75</v>
      </c>
      <c r="V392" s="7" t="s">
        <v>765</v>
      </c>
      <c r="W392" s="82">
        <f t="shared" si="86"/>
        <v>4751.25</v>
      </c>
      <c r="Y392" s="4"/>
      <c r="Z392" s="4"/>
      <c r="AA392" s="82"/>
      <c r="AB392" s="82"/>
      <c r="AC392" s="82"/>
      <c r="AD392" s="23"/>
      <c r="AE392" s="7" t="s">
        <v>468</v>
      </c>
      <c r="AH392" s="23">
        <f>SUM('2021 Detail'!J376:U376)+SUM('2021 Detail'!AA376:AC376)</f>
        <v>14400</v>
      </c>
      <c r="AJ392" s="23">
        <f t="shared" si="78"/>
        <v>-146.25</v>
      </c>
      <c r="AL392" t="str">
        <f t="shared" si="87"/>
        <v>Down</v>
      </c>
      <c r="AQ392" s="23">
        <v>1600</v>
      </c>
    </row>
    <row r="393" spans="1:43" x14ac:dyDescent="0.2">
      <c r="A393" s="226" t="s">
        <v>286</v>
      </c>
      <c r="B393" s="9">
        <v>0</v>
      </c>
      <c r="C393" s="9">
        <v>0</v>
      </c>
      <c r="D393" s="9">
        <v>0</v>
      </c>
      <c r="E393" s="9"/>
      <c r="F393" s="9" t="s">
        <v>495</v>
      </c>
      <c r="G393" s="83">
        <v>1456</v>
      </c>
      <c r="H393" s="83">
        <f t="shared" si="84"/>
        <v>1456</v>
      </c>
      <c r="I393" s="133">
        <f t="shared" si="85"/>
        <v>1</v>
      </c>
      <c r="J393" s="82">
        <v>20</v>
      </c>
      <c r="K393" s="82">
        <v>20</v>
      </c>
      <c r="L393" s="82">
        <v>20</v>
      </c>
      <c r="M393" s="82">
        <v>20</v>
      </c>
      <c r="N393" s="82">
        <v>220</v>
      </c>
      <c r="O393" s="82">
        <v>20</v>
      </c>
      <c r="P393" s="82">
        <v>20</v>
      </c>
      <c r="Q393" s="82">
        <v>20</v>
      </c>
      <c r="R393" s="82">
        <v>20</v>
      </c>
      <c r="S393" s="23">
        <v>20</v>
      </c>
      <c r="T393" s="23">
        <v>20</v>
      </c>
      <c r="U393" s="23">
        <v>420</v>
      </c>
      <c r="V393" s="7" t="s">
        <v>766</v>
      </c>
      <c r="W393" s="82">
        <f t="shared" si="86"/>
        <v>0</v>
      </c>
      <c r="Y393" s="4"/>
      <c r="Z393" s="4"/>
      <c r="AA393" s="82">
        <v>616</v>
      </c>
      <c r="AB393" s="82"/>
      <c r="AC393" s="82"/>
      <c r="AD393" s="23"/>
      <c r="AE393" s="7" t="s">
        <v>465</v>
      </c>
      <c r="AH393" s="23">
        <f>SUM('2021 Detail'!J377:U377)+SUM('2021 Detail'!AA377:AC377)</f>
        <v>1456.05</v>
      </c>
      <c r="AJ393" s="23">
        <f t="shared" si="78"/>
        <v>-4.9999999999954525E-2</v>
      </c>
      <c r="AL393" t="str">
        <f t="shared" si="87"/>
        <v>Down</v>
      </c>
      <c r="AQ393" s="23">
        <v>536.04999999999995</v>
      </c>
    </row>
    <row r="394" spans="1:43" x14ac:dyDescent="0.2">
      <c r="A394" s="226" t="s">
        <v>287</v>
      </c>
      <c r="B394" s="9" t="s">
        <v>495</v>
      </c>
      <c r="C394" s="9" t="s">
        <v>495</v>
      </c>
      <c r="D394" s="9" t="s">
        <v>495</v>
      </c>
      <c r="E394" s="9"/>
      <c r="F394" s="9" t="s">
        <v>495</v>
      </c>
      <c r="G394" s="83">
        <v>19414</v>
      </c>
      <c r="H394" s="83">
        <f t="shared" si="84"/>
        <v>19414</v>
      </c>
      <c r="I394" s="133">
        <f t="shared" si="85"/>
        <v>1</v>
      </c>
      <c r="J394" s="82">
        <v>1617.87</v>
      </c>
      <c r="K394" s="82">
        <v>1617.83</v>
      </c>
      <c r="L394" s="82">
        <v>1617.83</v>
      </c>
      <c r="M394" s="82">
        <v>1617.83</v>
      </c>
      <c r="N394" s="82">
        <v>1617.83</v>
      </c>
      <c r="O394" s="82">
        <v>1617.83</v>
      </c>
      <c r="P394" s="82">
        <v>1617.83</v>
      </c>
      <c r="Q394" s="82">
        <v>1617.83</v>
      </c>
      <c r="R394" s="82">
        <v>1617.83</v>
      </c>
      <c r="S394" s="23">
        <v>1617.83</v>
      </c>
      <c r="T394" s="23">
        <v>1617.83</v>
      </c>
      <c r="U394" s="23">
        <v>1617.83</v>
      </c>
      <c r="V394" s="7" t="s">
        <v>767</v>
      </c>
      <c r="W394" s="82">
        <f t="shared" si="86"/>
        <v>0</v>
      </c>
      <c r="Y394" s="4"/>
      <c r="Z394" s="4"/>
      <c r="AA394" s="82"/>
      <c r="AB394" s="82"/>
      <c r="AC394" s="82"/>
      <c r="AD394" s="23"/>
      <c r="AE394" s="7" t="s">
        <v>465</v>
      </c>
      <c r="AH394" s="23">
        <f>SUM('2021 Detail'!J378:U378)+SUM('2021 Detail'!AA378:AC378)</f>
        <v>19414</v>
      </c>
      <c r="AJ394" s="23">
        <f t="shared" si="78"/>
        <v>0</v>
      </c>
      <c r="AL394" t="str">
        <f t="shared" si="87"/>
        <v>Same</v>
      </c>
      <c r="AQ394" s="23">
        <v>1617.83</v>
      </c>
    </row>
    <row r="395" spans="1:43" x14ac:dyDescent="0.2">
      <c r="A395" s="226" t="s">
        <v>288</v>
      </c>
      <c r="B395" s="9">
        <v>0</v>
      </c>
      <c r="C395" s="9" t="s">
        <v>495</v>
      </c>
      <c r="D395" s="9" t="s">
        <v>495</v>
      </c>
      <c r="E395" s="9"/>
      <c r="F395" s="9">
        <v>0</v>
      </c>
      <c r="G395" s="83">
        <v>9300</v>
      </c>
      <c r="H395" s="83">
        <f t="shared" si="84"/>
        <v>3000</v>
      </c>
      <c r="I395" s="133">
        <f t="shared" si="85"/>
        <v>0.3226</v>
      </c>
      <c r="J395" s="82">
        <v>2000</v>
      </c>
      <c r="K395" s="82"/>
      <c r="L395" s="82"/>
      <c r="M395" s="82"/>
      <c r="N395" s="82"/>
      <c r="O395" s="82"/>
      <c r="P395" s="82"/>
      <c r="Q395" s="82">
        <v>1000</v>
      </c>
      <c r="R395" s="82"/>
      <c r="S395" s="23"/>
      <c r="T395" s="23"/>
      <c r="U395" s="23"/>
      <c r="V395" s="7" t="s">
        <v>768</v>
      </c>
      <c r="W395" s="82">
        <f t="shared" si="86"/>
        <v>6300</v>
      </c>
      <c r="Y395" s="4"/>
      <c r="Z395" s="4"/>
      <c r="AA395" s="82"/>
      <c r="AB395" s="82"/>
      <c r="AC395" s="82"/>
      <c r="AD395" s="23"/>
      <c r="AE395" s="7" t="s">
        <v>471</v>
      </c>
      <c r="AH395" s="23">
        <f>SUM('2021 Detail'!J379:U379)+SUM('2021 Detail'!AA379:AC379)</f>
        <v>4000</v>
      </c>
      <c r="AJ395" s="23">
        <f t="shared" si="78"/>
        <v>-1000</v>
      </c>
      <c r="AL395" t="str">
        <f t="shared" si="87"/>
        <v>Down</v>
      </c>
    </row>
    <row r="396" spans="1:43" x14ac:dyDescent="0.2">
      <c r="A396" s="226" t="s">
        <v>289</v>
      </c>
      <c r="B396" s="9" t="s">
        <v>495</v>
      </c>
      <c r="C396" s="9" t="s">
        <v>495</v>
      </c>
      <c r="D396" s="9" t="s">
        <v>495</v>
      </c>
      <c r="E396" s="9"/>
      <c r="F396" s="9" t="s">
        <v>495</v>
      </c>
      <c r="G396" s="83">
        <v>12829</v>
      </c>
      <c r="H396" s="83">
        <f t="shared" si="84"/>
        <v>12829</v>
      </c>
      <c r="I396" s="133">
        <f t="shared" si="85"/>
        <v>1</v>
      </c>
      <c r="J396" s="82">
        <v>500</v>
      </c>
      <c r="K396" s="82">
        <v>500</v>
      </c>
      <c r="L396" s="82">
        <v>500</v>
      </c>
      <c r="M396" s="82">
        <v>500</v>
      </c>
      <c r="N396" s="82">
        <v>500</v>
      </c>
      <c r="O396" s="82">
        <v>500</v>
      </c>
      <c r="P396" s="82">
        <v>500</v>
      </c>
      <c r="Q396" s="82">
        <v>2500</v>
      </c>
      <c r="R396" s="82">
        <v>500</v>
      </c>
      <c r="S396" s="23">
        <v>4500</v>
      </c>
      <c r="T396" s="23">
        <v>1329</v>
      </c>
      <c r="U396" s="23">
        <v>500</v>
      </c>
      <c r="V396" s="7" t="s">
        <v>769</v>
      </c>
      <c r="W396" s="82">
        <f t="shared" si="86"/>
        <v>0</v>
      </c>
      <c r="Y396" s="4"/>
      <c r="Z396" s="4"/>
      <c r="AA396" s="82"/>
      <c r="AB396" s="82"/>
      <c r="AC396" s="82"/>
      <c r="AD396" s="23"/>
      <c r="AE396" s="7" t="s">
        <v>469</v>
      </c>
      <c r="AH396" s="23">
        <f>SUM('2021 Detail'!J380:U380)+SUM('2021 Detail'!AA380:AC380)</f>
        <v>10100</v>
      </c>
      <c r="AJ396" s="23">
        <f t="shared" si="78"/>
        <v>2729</v>
      </c>
      <c r="AL396" t="str">
        <f t="shared" si="87"/>
        <v>Up</v>
      </c>
      <c r="AQ396" s="23">
        <v>500</v>
      </c>
    </row>
    <row r="397" spans="1:43" x14ac:dyDescent="0.2">
      <c r="A397" s="226" t="s">
        <v>290</v>
      </c>
      <c r="B397" s="9">
        <v>0</v>
      </c>
      <c r="C397" s="9" t="s">
        <v>495</v>
      </c>
      <c r="D397" s="9" t="s">
        <v>495</v>
      </c>
      <c r="E397" s="9"/>
      <c r="F397" s="9">
        <v>0</v>
      </c>
      <c r="G397" s="83">
        <v>12189</v>
      </c>
      <c r="H397" s="83">
        <f t="shared" si="84"/>
        <v>12189</v>
      </c>
      <c r="I397" s="133">
        <f t="shared" si="85"/>
        <v>1</v>
      </c>
      <c r="J397" s="82"/>
      <c r="K397" s="82"/>
      <c r="L397" s="82"/>
      <c r="M397" s="82"/>
      <c r="N397" s="82"/>
      <c r="O397" s="82">
        <v>2000</v>
      </c>
      <c r="P397" s="82">
        <v>1000</v>
      </c>
      <c r="Q397" s="82"/>
      <c r="R397" s="82"/>
      <c r="S397" s="23">
        <v>1000</v>
      </c>
      <c r="T397" s="23"/>
      <c r="U397" s="23">
        <v>8189</v>
      </c>
      <c r="V397" s="7" t="s">
        <v>770</v>
      </c>
      <c r="W397" s="82">
        <f t="shared" si="86"/>
        <v>0</v>
      </c>
      <c r="Y397" s="4"/>
      <c r="Z397" s="4"/>
      <c r="AA397" s="82"/>
      <c r="AB397" s="82"/>
      <c r="AC397" s="82"/>
      <c r="AD397" s="23"/>
      <c r="AE397" s="7" t="s">
        <v>469</v>
      </c>
      <c r="AH397" s="23">
        <f>SUM('2021 Detail'!J381:U381)+SUM('2021 Detail'!AA381:AC381)</f>
        <v>12000</v>
      </c>
      <c r="AJ397" s="23">
        <f t="shared" si="78"/>
        <v>189</v>
      </c>
      <c r="AL397" t="str">
        <f t="shared" si="87"/>
        <v>Up</v>
      </c>
    </row>
    <row r="398" spans="1:43" x14ac:dyDescent="0.2">
      <c r="A398" s="226" t="s">
        <v>291</v>
      </c>
      <c r="B398" s="9" t="s">
        <v>495</v>
      </c>
      <c r="C398" s="9" t="s">
        <v>495</v>
      </c>
      <c r="D398" s="9" t="s">
        <v>495</v>
      </c>
      <c r="E398" s="9"/>
      <c r="F398" s="9">
        <v>0</v>
      </c>
      <c r="G398" s="83">
        <v>47934</v>
      </c>
      <c r="H398" s="83">
        <f t="shared" si="84"/>
        <v>47934</v>
      </c>
      <c r="I398" s="133">
        <f t="shared" si="85"/>
        <v>1</v>
      </c>
      <c r="J398" s="82"/>
      <c r="K398" s="82"/>
      <c r="L398" s="82">
        <v>5000</v>
      </c>
      <c r="M398" s="82"/>
      <c r="N398" s="82"/>
      <c r="O398" s="82">
        <v>15000</v>
      </c>
      <c r="P398" s="82">
        <v>10000</v>
      </c>
      <c r="Q398" s="82"/>
      <c r="R398" s="82"/>
      <c r="S398" s="23">
        <v>6000</v>
      </c>
      <c r="T398" s="23"/>
      <c r="U398" s="23">
        <v>11934</v>
      </c>
      <c r="V398" s="7" t="s">
        <v>771</v>
      </c>
      <c r="W398" s="82">
        <f t="shared" si="86"/>
        <v>0</v>
      </c>
      <c r="Y398" s="4"/>
      <c r="Z398" s="4"/>
      <c r="AA398" s="82"/>
      <c r="AB398" s="82"/>
      <c r="AC398" s="82"/>
      <c r="AD398" s="23"/>
      <c r="AE398" s="7" t="s">
        <v>469</v>
      </c>
      <c r="AH398" s="23">
        <f>SUM('2021 Detail'!J382:U382)+SUM('2021 Detail'!AA382:AC382)</f>
        <v>44575</v>
      </c>
      <c r="AJ398" s="23">
        <f t="shared" si="78"/>
        <v>3359</v>
      </c>
      <c r="AL398" t="str">
        <f t="shared" si="87"/>
        <v>Up</v>
      </c>
    </row>
    <row r="399" spans="1:43" x14ac:dyDescent="0.2">
      <c r="A399" s="226" t="s">
        <v>292</v>
      </c>
      <c r="B399" s="9" t="s">
        <v>495</v>
      </c>
      <c r="C399" s="9" t="s">
        <v>495</v>
      </c>
      <c r="D399" s="9">
        <v>0</v>
      </c>
      <c r="E399" s="9"/>
      <c r="F399" s="9">
        <v>0</v>
      </c>
      <c r="G399" s="83">
        <v>4273</v>
      </c>
      <c r="H399" s="83">
        <f t="shared" si="84"/>
        <v>4273</v>
      </c>
      <c r="I399" s="133">
        <f t="shared" si="85"/>
        <v>1</v>
      </c>
      <c r="J399" s="82"/>
      <c r="K399" s="82"/>
      <c r="L399" s="82"/>
      <c r="M399" s="82">
        <v>1026.25</v>
      </c>
      <c r="N399" s="82"/>
      <c r="O399" s="82">
        <v>463.83</v>
      </c>
      <c r="P399" s="82">
        <v>463.82</v>
      </c>
      <c r="Q399" s="82">
        <v>463.82</v>
      </c>
      <c r="R399" s="82">
        <v>463.82</v>
      </c>
      <c r="S399" s="23">
        <v>463.82</v>
      </c>
      <c r="T399" s="23">
        <v>463.82</v>
      </c>
      <c r="U399" s="23">
        <v>463.82</v>
      </c>
      <c r="V399" s="7" t="s">
        <v>772</v>
      </c>
      <c r="W399" s="82">
        <f t="shared" si="86"/>
        <v>0</v>
      </c>
      <c r="Y399" s="4"/>
      <c r="Z399" s="4"/>
      <c r="AA399" s="82"/>
      <c r="AB399" s="82"/>
      <c r="AC399" s="82"/>
      <c r="AD399" s="23"/>
      <c r="AE399" s="7" t="s">
        <v>470</v>
      </c>
      <c r="AH399" s="23">
        <f>SUM('2021 Detail'!J383:U383)+SUM('2021 Detail'!AA383:AC383)</f>
        <v>4231</v>
      </c>
      <c r="AJ399" s="23">
        <f t="shared" si="78"/>
        <v>42</v>
      </c>
      <c r="AL399" t="str">
        <f t="shared" si="87"/>
        <v>Up</v>
      </c>
      <c r="AQ399" s="23">
        <v>1026.25</v>
      </c>
    </row>
    <row r="400" spans="1:43" x14ac:dyDescent="0.2">
      <c r="A400" s="226" t="s">
        <v>293</v>
      </c>
      <c r="B400" s="9" t="s">
        <v>495</v>
      </c>
      <c r="C400" s="9">
        <v>0</v>
      </c>
      <c r="D400" s="9">
        <v>0</v>
      </c>
      <c r="E400" s="9"/>
      <c r="F400" s="9">
        <v>0</v>
      </c>
      <c r="G400" s="83">
        <v>2682</v>
      </c>
      <c r="H400" s="83">
        <f t="shared" si="84"/>
        <v>1000</v>
      </c>
      <c r="I400" s="133">
        <f t="shared" si="85"/>
        <v>0.37290000000000001</v>
      </c>
      <c r="J400" s="82"/>
      <c r="K400" s="82"/>
      <c r="L400" s="82"/>
      <c r="M400" s="82"/>
      <c r="N400" s="82"/>
      <c r="O400" s="82"/>
      <c r="P400" s="82"/>
      <c r="Q400" s="82"/>
      <c r="R400" s="82"/>
      <c r="S400" s="23"/>
      <c r="T400" s="23"/>
      <c r="U400" s="23">
        <v>1000</v>
      </c>
      <c r="V400" s="7" t="s">
        <v>773</v>
      </c>
      <c r="W400" s="82">
        <f t="shared" si="86"/>
        <v>1682</v>
      </c>
      <c r="Y400" s="4"/>
      <c r="Z400" s="4"/>
      <c r="AA400" s="82"/>
      <c r="AB400" s="82"/>
      <c r="AC400" s="82"/>
      <c r="AD400" s="23"/>
      <c r="AE400" s="7" t="s">
        <v>470</v>
      </c>
      <c r="AH400" s="23">
        <f>SUM('2021 Detail'!J384:U384)+SUM('2021 Detail'!AA384:AC384)</f>
        <v>1300</v>
      </c>
      <c r="AJ400" s="23">
        <f t="shared" si="78"/>
        <v>-300</v>
      </c>
      <c r="AL400" t="str">
        <f t="shared" si="87"/>
        <v>Down</v>
      </c>
      <c r="AQ400" s="23">
        <v>1300</v>
      </c>
    </row>
    <row r="401" spans="1:46" x14ac:dyDescent="0.2">
      <c r="A401" s="226" t="s">
        <v>294</v>
      </c>
      <c r="B401" s="9" t="s">
        <v>495</v>
      </c>
      <c r="C401" s="9" t="s">
        <v>495</v>
      </c>
      <c r="D401" s="9">
        <v>0</v>
      </c>
      <c r="E401" s="9"/>
      <c r="F401" s="9" t="s">
        <v>495</v>
      </c>
      <c r="G401" s="83">
        <v>45011</v>
      </c>
      <c r="H401" s="83">
        <f t="shared" si="84"/>
        <v>45011</v>
      </c>
      <c r="I401" s="133">
        <f t="shared" si="85"/>
        <v>1</v>
      </c>
      <c r="J401" s="82">
        <v>3750.99</v>
      </c>
      <c r="K401" s="82">
        <v>3750.91</v>
      </c>
      <c r="L401" s="82">
        <v>3750.91</v>
      </c>
      <c r="M401" s="82">
        <v>3750.91</v>
      </c>
      <c r="N401" s="82">
        <v>3750.91</v>
      </c>
      <c r="O401" s="82">
        <v>3750.91</v>
      </c>
      <c r="P401" s="82">
        <v>3750.91</v>
      </c>
      <c r="Q401" s="82">
        <v>3750.91</v>
      </c>
      <c r="R401" s="82">
        <v>3750.91</v>
      </c>
      <c r="S401" s="23">
        <v>3750.91</v>
      </c>
      <c r="T401" s="23">
        <v>3750.91</v>
      </c>
      <c r="U401" s="23">
        <v>3750.91</v>
      </c>
      <c r="V401" s="7" t="s">
        <v>774</v>
      </c>
      <c r="W401" s="82">
        <f t="shared" si="86"/>
        <v>0</v>
      </c>
      <c r="Y401" s="4"/>
      <c r="Z401" s="4"/>
      <c r="AA401" s="82"/>
      <c r="AB401" s="82"/>
      <c r="AC401" s="82"/>
      <c r="AD401" s="23"/>
      <c r="AE401" s="7" t="s">
        <v>470</v>
      </c>
      <c r="AH401" s="23">
        <f>SUM('2021 Detail'!J385:U385)+SUM('2021 Detail'!AA385:AC385)</f>
        <v>45010.000000000007</v>
      </c>
      <c r="AJ401" s="23">
        <f t="shared" si="78"/>
        <v>0.99999999999272404</v>
      </c>
      <c r="AL401" t="str">
        <f t="shared" si="87"/>
        <v>Up</v>
      </c>
      <c r="AQ401" s="23">
        <v>3749.23</v>
      </c>
    </row>
    <row r="402" spans="1:46" x14ac:dyDescent="0.2">
      <c r="A402" s="226" t="s">
        <v>295</v>
      </c>
      <c r="B402" s="9">
        <v>0</v>
      </c>
      <c r="C402" s="9" t="s">
        <v>495</v>
      </c>
      <c r="D402" s="9" t="s">
        <v>495</v>
      </c>
      <c r="E402" s="9"/>
      <c r="F402" s="9">
        <v>0</v>
      </c>
      <c r="G402" s="83">
        <v>17700</v>
      </c>
      <c r="H402" s="83">
        <f t="shared" si="84"/>
        <v>8850</v>
      </c>
      <c r="I402" s="133">
        <f t="shared" si="85"/>
        <v>0.5</v>
      </c>
      <c r="J402" s="82"/>
      <c r="K402" s="82"/>
      <c r="L402" s="82"/>
      <c r="M402" s="82"/>
      <c r="N402" s="82">
        <v>5000</v>
      </c>
      <c r="O402" s="82"/>
      <c r="P402" s="82"/>
      <c r="Q402" s="82">
        <v>1700</v>
      </c>
      <c r="R402" s="82"/>
      <c r="S402" s="23">
        <v>2150</v>
      </c>
      <c r="T402" s="23"/>
      <c r="U402" s="23"/>
      <c r="V402" s="7" t="s">
        <v>775</v>
      </c>
      <c r="W402" s="82">
        <f t="shared" si="86"/>
        <v>8850</v>
      </c>
      <c r="Y402" s="4"/>
      <c r="Z402" s="4"/>
      <c r="AA402" s="82"/>
      <c r="AB402" s="82"/>
      <c r="AC402" s="82"/>
      <c r="AD402" s="23"/>
      <c r="AE402" s="7" t="s">
        <v>471</v>
      </c>
      <c r="AH402" s="23">
        <f>SUM('2021 Detail'!J386:U386)+SUM('2021 Detail'!AA386:AC386)</f>
        <v>10620</v>
      </c>
      <c r="AJ402" s="23">
        <f t="shared" si="78"/>
        <v>-1770</v>
      </c>
      <c r="AL402" t="str">
        <f t="shared" si="87"/>
        <v>Down</v>
      </c>
    </row>
    <row r="403" spans="1:46" s="6" customFormat="1" x14ac:dyDescent="0.2">
      <c r="A403" s="226" t="s">
        <v>296</v>
      </c>
      <c r="B403" s="9" t="s">
        <v>495</v>
      </c>
      <c r="C403" s="9" t="s">
        <v>495</v>
      </c>
      <c r="D403" s="9">
        <v>0</v>
      </c>
      <c r="E403" s="9"/>
      <c r="F403" s="9">
        <v>0</v>
      </c>
      <c r="G403" s="83">
        <v>14495</v>
      </c>
      <c r="H403" s="83">
        <f t="shared" si="84"/>
        <v>14496</v>
      </c>
      <c r="I403" s="133">
        <f t="shared" si="85"/>
        <v>1.0001</v>
      </c>
      <c r="J403" s="82"/>
      <c r="K403" s="82"/>
      <c r="L403" s="82">
        <v>3624</v>
      </c>
      <c r="M403" s="82"/>
      <c r="N403" s="82"/>
      <c r="O403" s="82"/>
      <c r="P403" s="82">
        <v>3624</v>
      </c>
      <c r="Q403" s="82"/>
      <c r="R403" s="82">
        <v>3624</v>
      </c>
      <c r="S403" s="23"/>
      <c r="T403" s="23"/>
      <c r="U403" s="23">
        <v>3624</v>
      </c>
      <c r="V403" s="7" t="s">
        <v>776</v>
      </c>
      <c r="W403" s="82">
        <f t="shared" si="86"/>
        <v>-1</v>
      </c>
      <c r="X403" s="7"/>
      <c r="Y403" s="4"/>
      <c r="Z403" s="4"/>
      <c r="AA403" s="82"/>
      <c r="AB403" s="82"/>
      <c r="AC403" s="82"/>
      <c r="AD403" s="23"/>
      <c r="AE403" s="10" t="s">
        <v>470</v>
      </c>
      <c r="AH403" s="23">
        <f>SUM('2021 Detail'!J387:U387)+SUM('2021 Detail'!AA387:AC387)</f>
        <v>14496</v>
      </c>
      <c r="AJ403" s="23">
        <f t="shared" si="78"/>
        <v>0</v>
      </c>
      <c r="AL403" t="str">
        <f t="shared" si="87"/>
        <v>Same</v>
      </c>
      <c r="AQ403" s="23">
        <v>3624</v>
      </c>
    </row>
    <row r="404" spans="1:46" s="6" customFormat="1" x14ac:dyDescent="0.2">
      <c r="A404" s="226" t="s">
        <v>297</v>
      </c>
      <c r="B404" s="9" t="s">
        <v>495</v>
      </c>
      <c r="C404" s="9">
        <v>0</v>
      </c>
      <c r="D404" s="9">
        <v>0</v>
      </c>
      <c r="E404" s="9"/>
      <c r="F404" s="9">
        <v>0</v>
      </c>
      <c r="G404" s="83">
        <v>5540</v>
      </c>
      <c r="H404" s="83">
        <f t="shared" si="84"/>
        <v>5134</v>
      </c>
      <c r="I404" s="133">
        <f t="shared" si="85"/>
        <v>0.92669999999999997</v>
      </c>
      <c r="J404" s="82"/>
      <c r="K404" s="82"/>
      <c r="L404" s="82"/>
      <c r="M404" s="82"/>
      <c r="N404" s="82"/>
      <c r="O404" s="82"/>
      <c r="P404" s="82"/>
      <c r="Q404" s="82"/>
      <c r="R404" s="82"/>
      <c r="S404" s="23">
        <v>2000</v>
      </c>
      <c r="T404" s="23"/>
      <c r="U404" s="23">
        <v>2000</v>
      </c>
      <c r="V404" s="7" t="s">
        <v>777</v>
      </c>
      <c r="W404" s="82">
        <f t="shared" si="86"/>
        <v>406</v>
      </c>
      <c r="X404" s="7"/>
      <c r="Y404" s="4"/>
      <c r="Z404" s="4"/>
      <c r="AA404" s="82">
        <v>1134</v>
      </c>
      <c r="AB404" s="82"/>
      <c r="AC404" s="82"/>
      <c r="AD404" s="23"/>
      <c r="AE404" s="10" t="s">
        <v>470</v>
      </c>
      <c r="AH404" s="23">
        <f>SUM('2021 Detail'!J388:U388)+SUM('2021 Detail'!AA388:AC388)</f>
        <v>5104</v>
      </c>
      <c r="AJ404" s="23">
        <f t="shared" si="78"/>
        <v>30</v>
      </c>
      <c r="AL404" t="str">
        <f t="shared" si="87"/>
        <v>Up</v>
      </c>
      <c r="AQ404" s="23">
        <v>2000</v>
      </c>
    </row>
    <row r="405" spans="1:46" x14ac:dyDescent="0.2">
      <c r="G405" s="83"/>
      <c r="I405" s="133"/>
      <c r="Y405" s="4"/>
      <c r="Z405" s="4"/>
      <c r="AJ405" s="23"/>
    </row>
    <row r="406" spans="1:46" x14ac:dyDescent="0.2">
      <c r="A406" s="226" t="s">
        <v>1142</v>
      </c>
      <c r="G406" s="83">
        <f>SUM(G371:G405)</f>
        <v>538615</v>
      </c>
      <c r="H406" s="83">
        <f>SUM(H371:H405)</f>
        <v>450063.54000000004</v>
      </c>
      <c r="I406" s="133">
        <f t="shared" ref="I406:I407" si="88">ROUND((H406/G406),4)</f>
        <v>0.83560000000000001</v>
      </c>
      <c r="J406" s="83">
        <f t="shared" ref="J406:U406" si="89">SUM(J371:J405)</f>
        <v>27712.35</v>
      </c>
      <c r="K406" s="83">
        <f t="shared" si="89"/>
        <v>21678.149999999998</v>
      </c>
      <c r="L406" s="83">
        <f t="shared" si="89"/>
        <v>27218.399999999998</v>
      </c>
      <c r="M406" s="83">
        <f t="shared" si="89"/>
        <v>27389.649999999998</v>
      </c>
      <c r="N406" s="83">
        <f t="shared" si="89"/>
        <v>25794.399999999998</v>
      </c>
      <c r="O406" s="83">
        <f t="shared" si="89"/>
        <v>41488.720000000001</v>
      </c>
      <c r="P406" s="83">
        <f t="shared" si="89"/>
        <v>45012.679999999993</v>
      </c>
      <c r="Q406" s="83">
        <f t="shared" si="89"/>
        <v>27088.679999999997</v>
      </c>
      <c r="R406" s="83">
        <f t="shared" si="89"/>
        <v>34812.680000000008</v>
      </c>
      <c r="S406" s="4">
        <f t="shared" si="89"/>
        <v>44119.679999999993</v>
      </c>
      <c r="T406" s="4">
        <f t="shared" si="89"/>
        <v>56177.08</v>
      </c>
      <c r="U406" s="4">
        <f t="shared" si="89"/>
        <v>66821.069999999992</v>
      </c>
      <c r="V406" s="77"/>
      <c r="W406" s="82">
        <f>SUM(W371:W405)</f>
        <v>88551.459999999992</v>
      </c>
      <c r="Y406" s="4"/>
      <c r="Z406" s="4"/>
      <c r="AA406" s="83">
        <f>SUM(AA371:AA405)</f>
        <v>4750</v>
      </c>
      <c r="AB406" s="83">
        <f>SUM(AB371:AB405)</f>
        <v>0</v>
      </c>
      <c r="AC406" s="83">
        <f>SUM(AC371:AC405)</f>
        <v>0</v>
      </c>
      <c r="AD406" s="4"/>
      <c r="AH406" s="23">
        <f>SUM(AH371:AH405)</f>
        <v>458694</v>
      </c>
      <c r="AJ406" s="23">
        <f t="shared" si="78"/>
        <v>-8630.4599999999627</v>
      </c>
      <c r="AM406" s="11">
        <f>SUM(J406:R406)+SUM(S407:U407)+SUM('2020 detail'!AA390:AC390)</f>
        <v>440381.87</v>
      </c>
      <c r="AN406" s="24">
        <f>ROUND((AM406/G406),4)</f>
        <v>0.81759999999999999</v>
      </c>
      <c r="AO406" s="24">
        <f>ROUND((SUM(J407:U407)/G407),4)</f>
        <v>0.79469999999999996</v>
      </c>
      <c r="AQ406" s="23">
        <f>SUM(AQ371:AQ405)</f>
        <v>75077.72</v>
      </c>
      <c r="AS406">
        <v>-2500</v>
      </c>
      <c r="AT406" s="3">
        <f>W406+AS406</f>
        <v>86051.459999999992</v>
      </c>
    </row>
    <row r="407" spans="1:46" x14ac:dyDescent="0.2">
      <c r="A407" s="253" t="s">
        <v>1056</v>
      </c>
      <c r="G407" s="206">
        <f>'2021 Detail'!G391</f>
        <v>538613</v>
      </c>
      <c r="H407" s="206">
        <f>SUM(J407:U407)+SUM(AA407:AC407)</f>
        <v>458693.99999999988</v>
      </c>
      <c r="I407" s="207">
        <f t="shared" si="88"/>
        <v>0.85160000000000002</v>
      </c>
      <c r="J407" s="206">
        <f>'2021 Detail'!J391</f>
        <v>24974.65</v>
      </c>
      <c r="K407" s="206">
        <f>'2021 Detail'!K391</f>
        <v>22804.57</v>
      </c>
      <c r="L407" s="206">
        <f>'2021 Detail'!L391</f>
        <v>34456.300000000003</v>
      </c>
      <c r="M407" s="206">
        <f>'2021 Detail'!M391</f>
        <v>23794.969999999998</v>
      </c>
      <c r="N407" s="206">
        <f>'2021 Detail'!N391</f>
        <v>22794.969999999998</v>
      </c>
      <c r="O407" s="206">
        <f>'2021 Detail'!O391</f>
        <v>30918.969999999998</v>
      </c>
      <c r="P407" s="206">
        <f>'2021 Detail'!P391</f>
        <v>35902.47</v>
      </c>
      <c r="Q407" s="206">
        <f>'2021 Detail'!Q391</f>
        <v>28762.969999999998</v>
      </c>
      <c r="R407" s="206">
        <f>'2021 Detail'!R391</f>
        <v>41418.97</v>
      </c>
      <c r="S407" s="206">
        <f>'2021 Detail'!S391</f>
        <v>38911.72</v>
      </c>
      <c r="T407" s="206">
        <f>'2021 Detail'!T391</f>
        <v>48196.72</v>
      </c>
      <c r="U407" s="206">
        <f>'2021 Detail'!U391</f>
        <v>75077.72</v>
      </c>
      <c r="V407" s="206"/>
      <c r="W407" s="206"/>
      <c r="X407" s="206"/>
      <c r="Y407" s="4"/>
      <c r="Z407" s="4"/>
      <c r="AA407" s="206">
        <f>'2021 Detail'!AA391</f>
        <v>29575</v>
      </c>
      <c r="AB407" s="206">
        <f>'2021 Detail'!AB391</f>
        <v>1104</v>
      </c>
      <c r="AC407" s="206">
        <f>'2021 Detail'!AC391</f>
        <v>0</v>
      </c>
      <c r="AJ407" s="23"/>
    </row>
    <row r="408" spans="1:46" x14ac:dyDescent="0.2">
      <c r="Y408" s="4"/>
      <c r="Z408" s="4"/>
      <c r="AJ408" s="23"/>
    </row>
    <row r="409" spans="1:46" x14ac:dyDescent="0.2">
      <c r="A409" s="226" t="str">
        <f t="shared" ref="A409:U409" si="90">A$510</f>
        <v>Diocesan Total 2022</v>
      </c>
      <c r="B409" s="226">
        <f t="shared" si="90"/>
        <v>0</v>
      </c>
      <c r="C409" s="226">
        <f t="shared" si="90"/>
        <v>0</v>
      </c>
      <c r="D409" s="258">
        <f t="shared" si="90"/>
        <v>0</v>
      </c>
      <c r="E409" s="226">
        <f t="shared" si="90"/>
        <v>0</v>
      </c>
      <c r="F409" s="226">
        <f t="shared" si="90"/>
        <v>0</v>
      </c>
      <c r="G409" s="83">
        <f t="shared" si="90"/>
        <v>8116012</v>
      </c>
      <c r="H409" s="83">
        <f t="shared" si="90"/>
        <v>6559276.3399999999</v>
      </c>
      <c r="I409" s="133">
        <f t="shared" si="90"/>
        <v>0.80820000000000003</v>
      </c>
      <c r="J409" s="83">
        <f t="shared" si="90"/>
        <v>378351.23</v>
      </c>
      <c r="K409" s="83">
        <f t="shared" si="90"/>
        <v>449442.02</v>
      </c>
      <c r="L409" s="83">
        <f t="shared" si="90"/>
        <v>517036.34</v>
      </c>
      <c r="M409" s="83">
        <f t="shared" si="90"/>
        <v>434875.54000000004</v>
      </c>
      <c r="N409" s="83">
        <f t="shared" si="90"/>
        <v>497786.23</v>
      </c>
      <c r="O409" s="83">
        <f t="shared" si="90"/>
        <v>599586.94000000006</v>
      </c>
      <c r="P409" s="83">
        <f t="shared" si="90"/>
        <v>498701.35</v>
      </c>
      <c r="Q409" s="83">
        <f t="shared" si="90"/>
        <v>538018.41999999993</v>
      </c>
      <c r="R409" s="83">
        <f t="shared" si="90"/>
        <v>551902.79</v>
      </c>
      <c r="S409" s="4">
        <f t="shared" si="90"/>
        <v>564217.18000000005</v>
      </c>
      <c r="T409" s="4">
        <f t="shared" si="90"/>
        <v>645999.05000000005</v>
      </c>
      <c r="U409" s="4">
        <f t="shared" si="90"/>
        <v>736614.44</v>
      </c>
      <c r="V409" s="77"/>
      <c r="W409" s="82"/>
      <c r="X409" s="4"/>
      <c r="Y409" s="4"/>
      <c r="Z409" s="4"/>
      <c r="AA409" s="83"/>
      <c r="AB409" s="83"/>
      <c r="AC409" s="83"/>
      <c r="AD409" s="4"/>
      <c r="AH409" s="23">
        <f>AH$510</f>
        <v>6587993.7699999996</v>
      </c>
      <c r="AJ409" s="23">
        <f>AJ$510</f>
        <v>-28717.429999999702</v>
      </c>
    </row>
    <row r="410" spans="1:46" x14ac:dyDescent="0.2">
      <c r="A410" s="253" t="str">
        <f t="shared" ref="A410:U410" si="91">A$511</f>
        <v>Diocesan Total 2021</v>
      </c>
      <c r="B410" s="253">
        <f t="shared" si="91"/>
        <v>0</v>
      </c>
      <c r="C410" s="253">
        <f t="shared" si="91"/>
        <v>0</v>
      </c>
      <c r="D410" s="259">
        <f t="shared" si="91"/>
        <v>0</v>
      </c>
      <c r="E410" s="253">
        <f t="shared" si="91"/>
        <v>0</v>
      </c>
      <c r="F410" s="253">
        <f t="shared" si="91"/>
        <v>0</v>
      </c>
      <c r="G410" s="206">
        <f t="shared" si="91"/>
        <v>8132853</v>
      </c>
      <c r="H410" s="206">
        <f t="shared" si="91"/>
        <v>6587993.7700000005</v>
      </c>
      <c r="I410" s="207">
        <f t="shared" si="91"/>
        <v>0.81</v>
      </c>
      <c r="J410" s="206">
        <f t="shared" si="91"/>
        <v>340336.86</v>
      </c>
      <c r="K410" s="206">
        <f t="shared" si="91"/>
        <v>407387.73</v>
      </c>
      <c r="L410" s="206">
        <f t="shared" si="91"/>
        <v>497955.59</v>
      </c>
      <c r="M410" s="206">
        <f t="shared" si="91"/>
        <v>513800.89999999997</v>
      </c>
      <c r="N410" s="206">
        <f t="shared" si="91"/>
        <v>483760.16000000003</v>
      </c>
      <c r="O410" s="206">
        <f t="shared" si="91"/>
        <v>527451.71000000008</v>
      </c>
      <c r="P410" s="206">
        <f t="shared" si="91"/>
        <v>582882.6100000001</v>
      </c>
      <c r="Q410" s="206">
        <f t="shared" si="91"/>
        <v>489302.35</v>
      </c>
      <c r="R410" s="206">
        <f t="shared" si="91"/>
        <v>548459.72</v>
      </c>
      <c r="S410" s="206">
        <f t="shared" si="91"/>
        <v>527708.16999999993</v>
      </c>
      <c r="T410" s="206">
        <f t="shared" si="91"/>
        <v>616975.80999999994</v>
      </c>
      <c r="U410" s="206">
        <f t="shared" si="91"/>
        <v>907302.59</v>
      </c>
      <c r="V410" s="206"/>
      <c r="W410" s="206"/>
      <c r="X410" s="206"/>
      <c r="Y410" s="4"/>
      <c r="Z410" s="4"/>
      <c r="AA410" s="206"/>
      <c r="AB410" s="206"/>
      <c r="AC410" s="206"/>
      <c r="AJ410" s="23"/>
    </row>
    <row r="411" spans="1:46" ht="15.75" x14ac:dyDescent="0.25">
      <c r="G411" s="196" t="s">
        <v>16</v>
      </c>
      <c r="Y411" s="4"/>
      <c r="Z411" s="4"/>
      <c r="AH411" s="171" t="s">
        <v>1136</v>
      </c>
      <c r="AI411" s="172"/>
      <c r="AJ411" s="171" t="s">
        <v>1064</v>
      </c>
    </row>
    <row r="412" spans="1:46" x14ac:dyDescent="0.2">
      <c r="Y412" s="4"/>
      <c r="Z412" s="4"/>
      <c r="AH412" s="171" t="s">
        <v>1137</v>
      </c>
      <c r="AI412" s="172"/>
      <c r="AJ412" s="171" t="s">
        <v>1138</v>
      </c>
    </row>
    <row r="413" spans="1:46" ht="16.5" x14ac:dyDescent="0.25">
      <c r="A413" s="250"/>
      <c r="B413" s="8"/>
      <c r="C413" s="8"/>
      <c r="E413" s="8"/>
      <c r="F413" s="8"/>
      <c r="G413" s="208" t="str">
        <f>$G$3</f>
        <v>2022 PARISH SHARE INFORMATION AS AT 31 DECEMBER 2022</v>
      </c>
      <c r="H413" s="209"/>
      <c r="W413" s="194"/>
      <c r="X413"/>
      <c r="Y413" s="4"/>
      <c r="Z413" s="4"/>
      <c r="AA413"/>
      <c r="AB413"/>
      <c r="AC413"/>
      <c r="AH413" s="172"/>
      <c r="AI413" s="172"/>
      <c r="AJ413" s="171" t="s">
        <v>1139</v>
      </c>
    </row>
    <row r="414" spans="1:46" x14ac:dyDescent="0.2">
      <c r="A414" s="250"/>
      <c r="G414" s="205"/>
      <c r="H414" s="197"/>
      <c r="W414" s="194"/>
      <c r="X414"/>
      <c r="Y414" s="4"/>
      <c r="Z414" s="4"/>
      <c r="AA414"/>
      <c r="AB414"/>
      <c r="AC414"/>
    </row>
    <row r="415" spans="1:46" ht="16.5" x14ac:dyDescent="0.25">
      <c r="A415" s="251" t="s">
        <v>1</v>
      </c>
      <c r="B415" s="151" t="str">
        <f>$B$5</f>
        <v>RM</v>
      </c>
      <c r="C415" s="151" t="str">
        <f>$C$5</f>
        <v>RF</v>
      </c>
      <c r="D415" s="151" t="str">
        <f>$D$5</f>
        <v>Accts</v>
      </c>
      <c r="E415" s="151"/>
      <c r="F415" s="151" t="str">
        <f>$F$5</f>
        <v>Share DD</v>
      </c>
      <c r="G415" s="210" t="str">
        <f>$G$5</f>
        <v xml:space="preserve">2022 Share </v>
      </c>
      <c r="H415" s="211" t="str">
        <f>$H$5</f>
        <v xml:space="preserve">2022 Paid </v>
      </c>
      <c r="I415" s="211" t="str">
        <f>$I$5</f>
        <v xml:space="preserve">% Paid </v>
      </c>
      <c r="J415" s="212">
        <f>$J$5</f>
        <v>44592</v>
      </c>
      <c r="K415" s="212">
        <f>$K$5</f>
        <v>44620</v>
      </c>
      <c r="L415" s="212">
        <f>$L$5</f>
        <v>44651</v>
      </c>
      <c r="M415" s="212">
        <f>$M$5</f>
        <v>44681</v>
      </c>
      <c r="N415" s="212">
        <f>$N$5</f>
        <v>44712</v>
      </c>
      <c r="O415" s="212">
        <f>$O$5</f>
        <v>44742</v>
      </c>
      <c r="P415" s="212">
        <f>$P$5</f>
        <v>44773</v>
      </c>
      <c r="Q415" s="212">
        <f>$Q$5</f>
        <v>44804</v>
      </c>
      <c r="R415" s="212">
        <f>$R$5</f>
        <v>44834</v>
      </c>
      <c r="S415" s="155">
        <f>$S$5</f>
        <v>44865</v>
      </c>
      <c r="T415" s="155">
        <f>$T$5</f>
        <v>44895</v>
      </c>
      <c r="U415" s="155">
        <f>$U$5</f>
        <v>44926</v>
      </c>
      <c r="V415" s="78"/>
      <c r="W415" s="195" t="str">
        <f>$W$5</f>
        <v xml:space="preserve">Outstanding </v>
      </c>
      <c r="X415" s="2"/>
      <c r="Y415" s="4"/>
      <c r="Z415" s="4"/>
      <c r="AA415" s="2">
        <f>$AA$5</f>
        <v>44957</v>
      </c>
      <c r="AB415" s="2">
        <f>$AB$5</f>
        <v>44985</v>
      </c>
      <c r="AC415" s="2">
        <f>$AC$5</f>
        <v>45016</v>
      </c>
      <c r="AE415" s="152" t="str">
        <f>$AE$5</f>
        <v>Benefice</v>
      </c>
      <c r="AH415" s="16" t="s">
        <v>1141</v>
      </c>
      <c r="AJ415" s="170" t="s">
        <v>1140</v>
      </c>
      <c r="AQ415" s="222">
        <f>AQ5</f>
        <v>44588</v>
      </c>
    </row>
    <row r="416" spans="1:46" ht="16.5" x14ac:dyDescent="0.25">
      <c r="A416" s="250"/>
      <c r="G416" s="201" t="s">
        <v>1040</v>
      </c>
      <c r="H416" s="202" t="s">
        <v>1040</v>
      </c>
      <c r="I416" s="203"/>
      <c r="J416" s="202" t="s">
        <v>1040</v>
      </c>
      <c r="K416" s="202" t="s">
        <v>1040</v>
      </c>
      <c r="L416" s="202" t="s">
        <v>1040</v>
      </c>
      <c r="M416" s="202" t="s">
        <v>1040</v>
      </c>
      <c r="N416" s="202" t="s">
        <v>1040</v>
      </c>
      <c r="O416" s="202" t="s">
        <v>1040</v>
      </c>
      <c r="P416" s="202" t="s">
        <v>1040</v>
      </c>
      <c r="Q416" s="202" t="s">
        <v>1040</v>
      </c>
      <c r="R416" s="202" t="s">
        <v>1040</v>
      </c>
      <c r="S416" s="147" t="s">
        <v>1040</v>
      </c>
      <c r="T416" s="147" t="s">
        <v>1040</v>
      </c>
      <c r="U416" s="147" t="s">
        <v>1040</v>
      </c>
      <c r="W416" s="194"/>
      <c r="X416"/>
      <c r="Y416" s="4"/>
      <c r="Z416" s="4"/>
      <c r="AA416"/>
      <c r="AB416"/>
      <c r="AC416"/>
      <c r="AJ416" s="23"/>
    </row>
    <row r="417" spans="1:43" x14ac:dyDescent="0.2">
      <c r="Y417" s="4"/>
      <c r="Z417" s="4"/>
      <c r="AJ417" s="23"/>
    </row>
    <row r="418" spans="1:43" x14ac:dyDescent="0.2">
      <c r="A418" s="226" t="s">
        <v>373</v>
      </c>
      <c r="B418" s="9" t="s">
        <v>495</v>
      </c>
      <c r="C418" s="9" t="s">
        <v>495</v>
      </c>
      <c r="D418" s="9" t="s">
        <v>495</v>
      </c>
      <c r="E418" s="9"/>
      <c r="F418" s="9">
        <v>0</v>
      </c>
      <c r="G418" s="83">
        <v>31856</v>
      </c>
      <c r="H418" s="83">
        <f t="shared" ref="H418:H464" si="92">SUM(J418:U418)+SUM(AA418:AC418)</f>
        <v>21857</v>
      </c>
      <c r="I418" s="133">
        <f t="shared" ref="I418:I464" si="93">ROUND((H418/G418),4)</f>
        <v>0.68610000000000004</v>
      </c>
      <c r="J418" s="82">
        <v>0</v>
      </c>
      <c r="K418" s="82"/>
      <c r="L418" s="82"/>
      <c r="M418" s="82"/>
      <c r="N418" s="82">
        <v>11857</v>
      </c>
      <c r="O418" s="82"/>
      <c r="P418" s="82"/>
      <c r="Q418" s="82"/>
      <c r="R418" s="82"/>
      <c r="S418" s="23"/>
      <c r="T418" s="23">
        <v>10000</v>
      </c>
      <c r="U418" s="23"/>
      <c r="V418" s="7" t="s">
        <v>779</v>
      </c>
      <c r="W418" s="82">
        <f t="shared" ref="W418:W464" si="94">ROUND((G418-H418),2)</f>
        <v>9999</v>
      </c>
      <c r="Y418" s="4"/>
      <c r="Z418" s="4"/>
      <c r="AA418" s="82"/>
      <c r="AB418" s="82"/>
      <c r="AC418" s="82"/>
      <c r="AE418" s="7" t="s">
        <v>473</v>
      </c>
      <c r="AH418" s="23">
        <f>SUM('2021 Detail'!J401:U401)+SUM('2021 Detail'!AA401:AC401)</f>
        <v>32226.98</v>
      </c>
      <c r="AJ418" s="23">
        <f t="shared" ref="AJ418:AJ467" si="95">H418-AH418</f>
        <v>-10369.98</v>
      </c>
      <c r="AL418" t="str">
        <f t="shared" ref="AL418:AL464" si="96">IF(AJ418&lt;0,"Down",IF(AJ418&gt;0,"Up","Same"))</f>
        <v>Down</v>
      </c>
      <c r="AQ418" s="23">
        <v>10000</v>
      </c>
    </row>
    <row r="419" spans="1:43" x14ac:dyDescent="0.2">
      <c r="A419" s="226" t="s">
        <v>299</v>
      </c>
      <c r="B419" s="9" t="s">
        <v>495</v>
      </c>
      <c r="C419" s="9">
        <v>0</v>
      </c>
      <c r="D419" s="9">
        <v>0</v>
      </c>
      <c r="E419" s="9"/>
      <c r="F419" s="9" t="s">
        <v>495</v>
      </c>
      <c r="G419" s="83">
        <v>10000</v>
      </c>
      <c r="H419" s="83">
        <f t="shared" si="92"/>
        <v>10000</v>
      </c>
      <c r="I419" s="133">
        <f t="shared" si="93"/>
        <v>1</v>
      </c>
      <c r="J419" s="82">
        <v>833.37</v>
      </c>
      <c r="K419" s="82">
        <v>833.33</v>
      </c>
      <c r="L419" s="82">
        <v>833.33</v>
      </c>
      <c r="M419" s="82">
        <v>833.33</v>
      </c>
      <c r="N419" s="82">
        <v>833.33</v>
      </c>
      <c r="O419" s="82">
        <v>833.33</v>
      </c>
      <c r="P419" s="82">
        <v>833.33</v>
      </c>
      <c r="Q419" s="82">
        <v>833.33</v>
      </c>
      <c r="R419" s="82">
        <v>833.33</v>
      </c>
      <c r="S419" s="23">
        <v>833.33</v>
      </c>
      <c r="T419" s="23">
        <v>833.33</v>
      </c>
      <c r="U419" s="23">
        <v>833.33</v>
      </c>
      <c r="V419" s="7" t="s">
        <v>780</v>
      </c>
      <c r="W419" s="82">
        <f t="shared" si="94"/>
        <v>0</v>
      </c>
      <c r="Y419" s="4"/>
      <c r="Z419" s="4"/>
      <c r="AA419" s="82"/>
      <c r="AB419" s="82"/>
      <c r="AC419" s="82"/>
      <c r="AE419" s="7" t="s">
        <v>475</v>
      </c>
      <c r="AH419" s="23">
        <f>SUM('2021 Detail'!J402:U402)+SUM('2021 Detail'!AA402:AC402)</f>
        <v>10550</v>
      </c>
      <c r="AJ419" s="23">
        <f t="shared" si="95"/>
        <v>-550</v>
      </c>
      <c r="AL419" t="str">
        <f t="shared" si="96"/>
        <v>Down</v>
      </c>
      <c r="AQ419" s="23">
        <v>833.33</v>
      </c>
    </row>
    <row r="420" spans="1:43" x14ac:dyDescent="0.2">
      <c r="A420" s="226" t="s">
        <v>300</v>
      </c>
      <c r="B420" s="9" t="s">
        <v>495</v>
      </c>
      <c r="C420" s="9" t="s">
        <v>495</v>
      </c>
      <c r="D420" s="9">
        <v>0</v>
      </c>
      <c r="E420" s="9"/>
      <c r="F420" s="9">
        <v>0</v>
      </c>
      <c r="G420" s="83">
        <v>9389</v>
      </c>
      <c r="H420" s="83">
        <f t="shared" si="92"/>
        <v>3000</v>
      </c>
      <c r="I420" s="133">
        <f t="shared" si="93"/>
        <v>0.31950000000000001</v>
      </c>
      <c r="J420" s="82">
        <v>0</v>
      </c>
      <c r="K420" s="82"/>
      <c r="L420" s="82">
        <v>250</v>
      </c>
      <c r="M420" s="82">
        <v>750</v>
      </c>
      <c r="N420" s="82">
        <v>250</v>
      </c>
      <c r="O420" s="82">
        <v>250</v>
      </c>
      <c r="P420" s="82">
        <v>250</v>
      </c>
      <c r="Q420" s="82">
        <v>250</v>
      </c>
      <c r="R420" s="82">
        <v>250</v>
      </c>
      <c r="S420" s="23">
        <v>250</v>
      </c>
      <c r="T420" s="23">
        <v>250</v>
      </c>
      <c r="U420" s="23">
        <v>250</v>
      </c>
      <c r="V420" s="7" t="s">
        <v>781</v>
      </c>
      <c r="W420" s="82">
        <f t="shared" si="94"/>
        <v>6389</v>
      </c>
      <c r="Y420" s="4"/>
      <c r="Z420" s="4"/>
      <c r="AA420" s="82"/>
      <c r="AB420" s="82"/>
      <c r="AC420" s="82"/>
      <c r="AE420" s="7" t="s">
        <v>472</v>
      </c>
      <c r="AH420" s="23">
        <f>SUM('2021 Detail'!J403:U403)+SUM('2021 Detail'!AA403:AC403)</f>
        <v>0</v>
      </c>
      <c r="AJ420" s="23">
        <f t="shared" si="95"/>
        <v>3000</v>
      </c>
      <c r="AL420" t="str">
        <f t="shared" si="96"/>
        <v>Up</v>
      </c>
    </row>
    <row r="421" spans="1:43" x14ac:dyDescent="0.2">
      <c r="A421" s="226" t="s">
        <v>301</v>
      </c>
      <c r="B421" s="9" t="s">
        <v>495</v>
      </c>
      <c r="C421" s="9" t="s">
        <v>495</v>
      </c>
      <c r="D421" s="9" t="s">
        <v>495</v>
      </c>
      <c r="E421" s="9"/>
      <c r="F421" s="9" t="s">
        <v>495</v>
      </c>
      <c r="G421" s="83">
        <v>16981</v>
      </c>
      <c r="H421" s="83">
        <f t="shared" si="92"/>
        <v>16980.999999999996</v>
      </c>
      <c r="I421" s="133">
        <f t="shared" si="93"/>
        <v>1</v>
      </c>
      <c r="J421" s="82">
        <v>1727.12</v>
      </c>
      <c r="K421" s="82">
        <v>1386.78</v>
      </c>
      <c r="L421" s="82">
        <v>1386.71</v>
      </c>
      <c r="M421" s="82">
        <v>1386.71</v>
      </c>
      <c r="N421" s="82">
        <v>1386.71</v>
      </c>
      <c r="O421" s="82">
        <v>1386.71</v>
      </c>
      <c r="P421" s="82">
        <v>1386.71</v>
      </c>
      <c r="Q421" s="82">
        <v>1386.71</v>
      </c>
      <c r="R421" s="82">
        <v>1386.71</v>
      </c>
      <c r="S421" s="23">
        <v>1386.71</v>
      </c>
      <c r="T421" s="23">
        <v>1386.71</v>
      </c>
      <c r="U421" s="23">
        <v>1386.71</v>
      </c>
      <c r="V421" s="7" t="s">
        <v>782</v>
      </c>
      <c r="W421" s="82">
        <f t="shared" si="94"/>
        <v>0</v>
      </c>
      <c r="Y421" s="4"/>
      <c r="Z421" s="4"/>
      <c r="AA421" s="82"/>
      <c r="AB421" s="82"/>
      <c r="AC421" s="82"/>
      <c r="AE421" s="7" t="s">
        <v>472</v>
      </c>
      <c r="AH421" s="23">
        <f>SUM('2021 Detail'!J404:U404)+SUM('2021 Detail'!AA404:AC404)</f>
        <v>17293</v>
      </c>
      <c r="AJ421" s="23">
        <f t="shared" si="95"/>
        <v>-312.00000000000364</v>
      </c>
      <c r="AL421" t="str">
        <f t="shared" si="96"/>
        <v>Down</v>
      </c>
      <c r="AM421" t="s">
        <v>1116</v>
      </c>
      <c r="AQ421" s="23">
        <v>1103.08</v>
      </c>
    </row>
    <row r="422" spans="1:43" x14ac:dyDescent="0.2">
      <c r="A422" s="226" t="s">
        <v>302</v>
      </c>
      <c r="B422" s="9" t="s">
        <v>495</v>
      </c>
      <c r="C422" s="9" t="s">
        <v>495</v>
      </c>
      <c r="D422" s="9" t="s">
        <v>495</v>
      </c>
      <c r="E422" s="9"/>
      <c r="F422" s="9" t="s">
        <v>495</v>
      </c>
      <c r="G422" s="83">
        <v>2792</v>
      </c>
      <c r="H422" s="83">
        <f t="shared" si="92"/>
        <v>2791.9999999999995</v>
      </c>
      <c r="I422" s="133">
        <f t="shared" si="93"/>
        <v>1</v>
      </c>
      <c r="J422" s="82">
        <v>232.74</v>
      </c>
      <c r="K422" s="82">
        <v>232.66</v>
      </c>
      <c r="L422" s="82">
        <v>232.66</v>
      </c>
      <c r="M422" s="82">
        <v>232.66</v>
      </c>
      <c r="N422" s="82">
        <v>232.66</v>
      </c>
      <c r="O422" s="82">
        <v>232.66</v>
      </c>
      <c r="P422" s="82">
        <v>232.66</v>
      </c>
      <c r="Q422" s="82">
        <v>232.66</v>
      </c>
      <c r="R422" s="82">
        <v>232.66</v>
      </c>
      <c r="S422" s="23">
        <v>232.66</v>
      </c>
      <c r="T422" s="23">
        <v>232.66</v>
      </c>
      <c r="U422" s="23">
        <v>232.66</v>
      </c>
      <c r="V422" s="7" t="s">
        <v>783</v>
      </c>
      <c r="W422" s="82">
        <f t="shared" si="94"/>
        <v>0</v>
      </c>
      <c r="Y422" s="4"/>
      <c r="Z422" s="4"/>
      <c r="AA422" s="82"/>
      <c r="AB422" s="82"/>
      <c r="AC422" s="82"/>
      <c r="AE422" s="7" t="s">
        <v>472</v>
      </c>
      <c r="AH422" s="23">
        <f>SUM('2021 Detail'!J405:U405)+SUM('2021 Detail'!AA405:AC405)</f>
        <v>2792.0000000000005</v>
      </c>
      <c r="AJ422" s="23">
        <f t="shared" si="95"/>
        <v>0</v>
      </c>
      <c r="AL422" t="str">
        <f t="shared" si="96"/>
        <v>Same</v>
      </c>
      <c r="AQ422" s="23">
        <v>232.65</v>
      </c>
    </row>
    <row r="423" spans="1:43" x14ac:dyDescent="0.2">
      <c r="A423" s="226" t="s">
        <v>303</v>
      </c>
      <c r="B423" s="9" t="s">
        <v>495</v>
      </c>
      <c r="C423" s="9" t="s">
        <v>495</v>
      </c>
      <c r="D423" s="9">
        <v>0</v>
      </c>
      <c r="E423" s="9"/>
      <c r="F423" s="9">
        <v>0</v>
      </c>
      <c r="G423" s="83">
        <v>8878</v>
      </c>
      <c r="H423" s="83">
        <f t="shared" si="92"/>
        <v>8878</v>
      </c>
      <c r="I423" s="133">
        <f t="shared" si="93"/>
        <v>1</v>
      </c>
      <c r="J423" s="82">
        <v>0</v>
      </c>
      <c r="K423" s="82">
        <v>4439</v>
      </c>
      <c r="L423" s="82"/>
      <c r="M423" s="82"/>
      <c r="N423" s="82"/>
      <c r="O423" s="82"/>
      <c r="P423" s="82">
        <v>4439</v>
      </c>
      <c r="Q423" s="82"/>
      <c r="R423" s="82"/>
      <c r="S423" s="23"/>
      <c r="T423" s="23"/>
      <c r="U423" s="23"/>
      <c r="V423" s="7" t="s">
        <v>784</v>
      </c>
      <c r="W423" s="82">
        <f t="shared" si="94"/>
        <v>0</v>
      </c>
      <c r="Y423" s="4"/>
      <c r="Z423" s="4"/>
      <c r="AA423" s="82"/>
      <c r="AB423" s="82"/>
      <c r="AC423" s="82"/>
      <c r="AE423" s="7" t="s">
        <v>472</v>
      </c>
      <c r="AH423" s="23">
        <f>SUM('2021 Detail'!J406:U406)+SUM('2021 Detail'!AA406:AC406)</f>
        <v>8878</v>
      </c>
      <c r="AJ423" s="23">
        <f t="shared" si="95"/>
        <v>0</v>
      </c>
      <c r="AL423" t="str">
        <f t="shared" si="96"/>
        <v>Same</v>
      </c>
    </row>
    <row r="424" spans="1:43" x14ac:dyDescent="0.2">
      <c r="A424" s="226" t="s">
        <v>304</v>
      </c>
      <c r="B424" s="9" t="s">
        <v>495</v>
      </c>
      <c r="C424" s="9" t="s">
        <v>495</v>
      </c>
      <c r="D424" s="9" t="s">
        <v>495</v>
      </c>
      <c r="E424" s="9"/>
      <c r="F424" s="9" t="s">
        <v>495</v>
      </c>
      <c r="G424" s="83">
        <v>19182</v>
      </c>
      <c r="H424" s="83">
        <f t="shared" si="92"/>
        <v>19182</v>
      </c>
      <c r="I424" s="133">
        <f t="shared" si="93"/>
        <v>1</v>
      </c>
      <c r="J424" s="82">
        <v>1598.5</v>
      </c>
      <c r="K424" s="82">
        <v>1598.5</v>
      </c>
      <c r="L424" s="82">
        <v>1598.5</v>
      </c>
      <c r="M424" s="82">
        <v>1598.5</v>
      </c>
      <c r="N424" s="82">
        <v>1598.5</v>
      </c>
      <c r="O424" s="82">
        <v>1598.5</v>
      </c>
      <c r="P424" s="82">
        <v>1598.5</v>
      </c>
      <c r="Q424" s="82">
        <v>1598.5</v>
      </c>
      <c r="R424" s="82">
        <v>1598.5</v>
      </c>
      <c r="S424" s="23">
        <v>1598.5</v>
      </c>
      <c r="T424" s="23">
        <v>1598.5</v>
      </c>
      <c r="U424" s="23">
        <v>1598.5</v>
      </c>
      <c r="V424" s="7" t="s">
        <v>785</v>
      </c>
      <c r="W424" s="82">
        <f t="shared" si="94"/>
        <v>0</v>
      </c>
      <c r="Y424" s="4"/>
      <c r="Z424" s="4"/>
      <c r="AA424" s="82"/>
      <c r="AB424" s="82"/>
      <c r="AC424" s="82"/>
      <c r="AE424" s="7" t="s">
        <v>472</v>
      </c>
      <c r="AH424" s="23">
        <f>SUM('2021 Detail'!J407:U407)+SUM('2021 Detail'!AA407:AC407)</f>
        <v>19182</v>
      </c>
      <c r="AJ424" s="23">
        <f t="shared" si="95"/>
        <v>0</v>
      </c>
      <c r="AL424" t="str">
        <f t="shared" si="96"/>
        <v>Same</v>
      </c>
      <c r="AQ424" s="23">
        <v>1598.5</v>
      </c>
    </row>
    <row r="425" spans="1:43" x14ac:dyDescent="0.2">
      <c r="A425" s="226" t="s">
        <v>305</v>
      </c>
      <c r="B425" s="9" t="s">
        <v>495</v>
      </c>
      <c r="C425" s="9" t="s">
        <v>495</v>
      </c>
      <c r="D425" s="9">
        <v>0</v>
      </c>
      <c r="E425" s="9"/>
      <c r="F425" s="9" t="s">
        <v>638</v>
      </c>
      <c r="G425" s="83">
        <v>11113</v>
      </c>
      <c r="H425" s="83">
        <f t="shared" si="92"/>
        <v>11113</v>
      </c>
      <c r="I425" s="133">
        <f t="shared" si="93"/>
        <v>1</v>
      </c>
      <c r="J425" s="82">
        <v>926.12</v>
      </c>
      <c r="K425" s="82">
        <v>926.08</v>
      </c>
      <c r="L425" s="82">
        <v>926.08</v>
      </c>
      <c r="M425" s="82">
        <v>926.08</v>
      </c>
      <c r="N425" s="82">
        <v>926.08</v>
      </c>
      <c r="O425" s="82">
        <v>926.08</v>
      </c>
      <c r="P425" s="82">
        <v>926.08</v>
      </c>
      <c r="Q425" s="82">
        <v>926.08</v>
      </c>
      <c r="R425" s="82">
        <v>926.08</v>
      </c>
      <c r="S425" s="23">
        <v>926.08</v>
      </c>
      <c r="T425" s="23">
        <v>926.08</v>
      </c>
      <c r="U425" s="23">
        <v>926.08</v>
      </c>
      <c r="V425" s="7" t="s">
        <v>786</v>
      </c>
      <c r="W425" s="82">
        <f t="shared" si="94"/>
        <v>0</v>
      </c>
      <c r="Y425" s="4"/>
      <c r="Z425" s="4"/>
      <c r="AA425" s="82"/>
      <c r="AB425" s="82"/>
      <c r="AC425" s="82"/>
      <c r="AE425" s="7" t="s">
        <v>473</v>
      </c>
      <c r="AH425" s="23">
        <f>SUM('2021 Detail'!J408:U408)+SUM('2021 Detail'!AA408:AC408)</f>
        <v>11112.999999999998</v>
      </c>
      <c r="AJ425" s="23">
        <f t="shared" si="95"/>
        <v>0</v>
      </c>
      <c r="AL425" t="str">
        <f t="shared" si="96"/>
        <v>Same</v>
      </c>
      <c r="AQ425" s="23">
        <v>926.64</v>
      </c>
    </row>
    <row r="426" spans="1:43" x14ac:dyDescent="0.2">
      <c r="A426" s="226" t="s">
        <v>306</v>
      </c>
      <c r="B426" s="9" t="s">
        <v>495</v>
      </c>
      <c r="C426" s="9" t="s">
        <v>495</v>
      </c>
      <c r="D426" s="9" t="s">
        <v>495</v>
      </c>
      <c r="E426" s="9"/>
      <c r="F426" s="9" t="s">
        <v>495</v>
      </c>
      <c r="G426" s="83">
        <v>1933</v>
      </c>
      <c r="H426" s="83">
        <f t="shared" si="92"/>
        <v>1932.9999999999998</v>
      </c>
      <c r="I426" s="133">
        <f t="shared" si="93"/>
        <v>1</v>
      </c>
      <c r="J426" s="82">
        <v>161.12</v>
      </c>
      <c r="K426" s="82">
        <v>161.08000000000001</v>
      </c>
      <c r="L426" s="82">
        <v>161.08000000000001</v>
      </c>
      <c r="M426" s="82">
        <v>161.08000000000001</v>
      </c>
      <c r="N426" s="82">
        <v>161.08000000000001</v>
      </c>
      <c r="O426" s="82">
        <v>161.08000000000001</v>
      </c>
      <c r="P426" s="82">
        <v>161.08000000000001</v>
      </c>
      <c r="Q426" s="82">
        <v>161.08000000000001</v>
      </c>
      <c r="R426" s="82">
        <v>161.08000000000001</v>
      </c>
      <c r="S426" s="23">
        <v>161.08000000000001</v>
      </c>
      <c r="T426" s="23">
        <v>161.08000000000001</v>
      </c>
      <c r="U426" s="23">
        <v>161.08000000000001</v>
      </c>
      <c r="V426" s="7" t="s">
        <v>787</v>
      </c>
      <c r="W426" s="82">
        <f t="shared" si="94"/>
        <v>0</v>
      </c>
      <c r="Y426" s="4"/>
      <c r="Z426" s="4"/>
      <c r="AA426" s="82"/>
      <c r="AB426" s="82"/>
      <c r="AC426" s="82"/>
      <c r="AE426" s="7" t="s">
        <v>472</v>
      </c>
      <c r="AH426" s="23">
        <f>SUM('2021 Detail'!J409:U409)+SUM('2021 Detail'!AA409:AC409)</f>
        <v>1932.9999999999998</v>
      </c>
      <c r="AJ426" s="23">
        <f t="shared" si="95"/>
        <v>0</v>
      </c>
      <c r="AL426" t="str">
        <f t="shared" si="96"/>
        <v>Same</v>
      </c>
      <c r="AQ426" s="23">
        <v>161.08000000000001</v>
      </c>
    </row>
    <row r="427" spans="1:43" x14ac:dyDescent="0.2">
      <c r="A427" s="226" t="s">
        <v>307</v>
      </c>
      <c r="B427" s="9" t="s">
        <v>495</v>
      </c>
      <c r="C427" s="9" t="s">
        <v>495</v>
      </c>
      <c r="D427" s="9" t="s">
        <v>495</v>
      </c>
      <c r="E427" s="9"/>
      <c r="F427" s="9" t="s">
        <v>495</v>
      </c>
      <c r="G427" s="83">
        <v>21486</v>
      </c>
      <c r="H427" s="83">
        <f t="shared" si="92"/>
        <v>21486</v>
      </c>
      <c r="I427" s="133">
        <f t="shared" si="93"/>
        <v>1</v>
      </c>
      <c r="J427" s="82">
        <v>1000</v>
      </c>
      <c r="K427" s="82">
        <v>1000</v>
      </c>
      <c r="L427" s="82">
        <v>1000</v>
      </c>
      <c r="M427" s="82">
        <v>1000</v>
      </c>
      <c r="N427" s="82">
        <v>1000</v>
      </c>
      <c r="O427" s="82">
        <v>1000</v>
      </c>
      <c r="P427" s="82">
        <v>1000</v>
      </c>
      <c r="Q427" s="82">
        <v>1000</v>
      </c>
      <c r="R427" s="82">
        <v>1000</v>
      </c>
      <c r="S427" s="23">
        <v>7000</v>
      </c>
      <c r="T427" s="23">
        <v>1000</v>
      </c>
      <c r="U427" s="23">
        <v>4486</v>
      </c>
      <c r="V427" s="7" t="s">
        <v>788</v>
      </c>
      <c r="W427" s="82">
        <f t="shared" si="94"/>
        <v>0</v>
      </c>
      <c r="Y427" s="4"/>
      <c r="Z427" s="4"/>
      <c r="AA427" s="82"/>
      <c r="AB427" s="82"/>
      <c r="AC427" s="82"/>
      <c r="AE427" s="7" t="s">
        <v>473</v>
      </c>
      <c r="AH427" s="23">
        <f>SUM('2021 Detail'!J410:U410)+SUM('2021 Detail'!AA410:AC410)</f>
        <v>21114.23</v>
      </c>
      <c r="AJ427" s="23">
        <f t="shared" si="95"/>
        <v>371.77000000000044</v>
      </c>
      <c r="AL427" t="str">
        <f t="shared" si="96"/>
        <v>Up</v>
      </c>
      <c r="AQ427" s="23">
        <v>5114.2299999999996</v>
      </c>
    </row>
    <row r="428" spans="1:43" x14ac:dyDescent="0.2">
      <c r="A428" s="226" t="s">
        <v>308</v>
      </c>
      <c r="B428" s="9" t="s">
        <v>495</v>
      </c>
      <c r="C428" s="9" t="s">
        <v>495</v>
      </c>
      <c r="D428" s="9" t="s">
        <v>495</v>
      </c>
      <c r="E428" s="9"/>
      <c r="F428" s="9">
        <v>0</v>
      </c>
      <c r="G428" s="83">
        <v>3334</v>
      </c>
      <c r="H428" s="83">
        <f t="shared" si="92"/>
        <v>3334</v>
      </c>
      <c r="I428" s="133">
        <f t="shared" si="93"/>
        <v>1</v>
      </c>
      <c r="J428" s="82">
        <v>281.68</v>
      </c>
      <c r="K428" s="82">
        <v>277.52</v>
      </c>
      <c r="L428" s="82">
        <v>277.48</v>
      </c>
      <c r="M428" s="82">
        <v>277.48</v>
      </c>
      <c r="N428" s="82">
        <v>277.48</v>
      </c>
      <c r="O428" s="82">
        <v>277.48</v>
      </c>
      <c r="P428" s="82">
        <v>277.48</v>
      </c>
      <c r="Q428" s="82">
        <v>277.48</v>
      </c>
      <c r="R428" s="82">
        <v>277.48</v>
      </c>
      <c r="S428" s="23">
        <v>277.48</v>
      </c>
      <c r="T428" s="23">
        <v>277.48</v>
      </c>
      <c r="U428" s="23">
        <v>277.48</v>
      </c>
      <c r="V428" s="7" t="s">
        <v>789</v>
      </c>
      <c r="W428" s="82">
        <f t="shared" si="94"/>
        <v>0</v>
      </c>
      <c r="Y428" s="4"/>
      <c r="Z428" s="4"/>
      <c r="AA428" s="82"/>
      <c r="AB428" s="82"/>
      <c r="AC428" s="82"/>
      <c r="AE428" s="7" t="s">
        <v>473</v>
      </c>
      <c r="AH428" s="23">
        <f>SUM('2021 Detail'!J411:U411)+SUM('2021 Detail'!AA411:AC411)</f>
        <v>3337.8100000000004</v>
      </c>
      <c r="AJ428" s="23">
        <f t="shared" si="95"/>
        <v>-3.8100000000004002</v>
      </c>
      <c r="AL428" t="str">
        <f t="shared" si="96"/>
        <v>Down</v>
      </c>
      <c r="AM428" t="s">
        <v>1117</v>
      </c>
      <c r="AQ428" s="23">
        <v>299.27999999999997</v>
      </c>
    </row>
    <row r="429" spans="1:43" x14ac:dyDescent="0.2">
      <c r="A429" s="226" t="s">
        <v>309</v>
      </c>
      <c r="B429" s="9" t="s">
        <v>495</v>
      </c>
      <c r="C429" s="9">
        <v>0</v>
      </c>
      <c r="D429" s="9" t="s">
        <v>495</v>
      </c>
      <c r="E429" s="9"/>
      <c r="F429" s="9">
        <v>0</v>
      </c>
      <c r="G429" s="83">
        <v>6297</v>
      </c>
      <c r="H429" s="83">
        <f t="shared" si="92"/>
        <v>4000</v>
      </c>
      <c r="I429" s="133">
        <f t="shared" si="93"/>
        <v>0.63519999999999999</v>
      </c>
      <c r="J429" s="82">
        <v>0</v>
      </c>
      <c r="K429" s="82"/>
      <c r="L429" s="82"/>
      <c r="M429" s="82"/>
      <c r="N429" s="82"/>
      <c r="O429" s="82">
        <v>2000</v>
      </c>
      <c r="P429" s="82"/>
      <c r="Q429" s="82"/>
      <c r="R429" s="82"/>
      <c r="S429" s="23">
        <v>1000</v>
      </c>
      <c r="T429" s="23"/>
      <c r="U429" s="23">
        <v>1000</v>
      </c>
      <c r="V429" s="7" t="s">
        <v>790</v>
      </c>
      <c r="W429" s="82">
        <f t="shared" si="94"/>
        <v>2297</v>
      </c>
      <c r="Y429" s="4"/>
      <c r="Z429" s="4"/>
      <c r="AA429" s="82"/>
      <c r="AB429" s="82"/>
      <c r="AC429" s="82"/>
      <c r="AE429" s="7" t="s">
        <v>473</v>
      </c>
      <c r="AH429" s="23">
        <f>SUM('2021 Detail'!J412:U412)+SUM('2021 Detail'!AA412:AC412)</f>
        <v>4000</v>
      </c>
      <c r="AJ429" s="23">
        <f t="shared" si="95"/>
        <v>0</v>
      </c>
      <c r="AL429" t="str">
        <f t="shared" si="96"/>
        <v>Same</v>
      </c>
      <c r="AQ429" s="23">
        <v>2500</v>
      </c>
    </row>
    <row r="430" spans="1:43" x14ac:dyDescent="0.2">
      <c r="A430" s="226" t="s">
        <v>310</v>
      </c>
      <c r="B430" s="9" t="s">
        <v>495</v>
      </c>
      <c r="C430" s="9" t="s">
        <v>495</v>
      </c>
      <c r="D430" s="9" t="s">
        <v>495</v>
      </c>
      <c r="E430" s="9"/>
      <c r="F430" s="9" t="s">
        <v>495</v>
      </c>
      <c r="G430" s="83">
        <v>16000</v>
      </c>
      <c r="H430" s="83">
        <f t="shared" si="92"/>
        <v>16000</v>
      </c>
      <c r="I430" s="133">
        <f t="shared" si="93"/>
        <v>1</v>
      </c>
      <c r="J430" s="82">
        <v>1000</v>
      </c>
      <c r="K430" s="82">
        <v>1000</v>
      </c>
      <c r="L430" s="82">
        <v>1000</v>
      </c>
      <c r="M430" s="82">
        <v>1000</v>
      </c>
      <c r="N430" s="82">
        <v>1000</v>
      </c>
      <c r="O430" s="82">
        <v>1000</v>
      </c>
      <c r="P430" s="82">
        <v>1000</v>
      </c>
      <c r="Q430" s="82">
        <v>1000</v>
      </c>
      <c r="R430" s="82">
        <v>1000</v>
      </c>
      <c r="S430" s="23">
        <v>1000</v>
      </c>
      <c r="T430" s="23">
        <v>1000</v>
      </c>
      <c r="U430" s="23">
        <v>5000</v>
      </c>
      <c r="V430" s="7" t="s">
        <v>791</v>
      </c>
      <c r="W430" s="82">
        <f t="shared" si="94"/>
        <v>0</v>
      </c>
      <c r="Y430" s="4"/>
      <c r="Z430" s="4"/>
      <c r="AA430" s="82"/>
      <c r="AB430" s="82"/>
      <c r="AC430" s="82"/>
      <c r="AE430" s="7" t="s">
        <v>475</v>
      </c>
      <c r="AH430" s="23">
        <f>SUM('2021 Detail'!J413:U413)+SUM('2021 Detail'!AA413:AC413)</f>
        <v>16000</v>
      </c>
      <c r="AJ430" s="23">
        <f t="shared" si="95"/>
        <v>0</v>
      </c>
      <c r="AL430" t="str">
        <f t="shared" si="96"/>
        <v>Same</v>
      </c>
      <c r="AQ430" s="23">
        <v>5000</v>
      </c>
    </row>
    <row r="431" spans="1:43" x14ac:dyDescent="0.2">
      <c r="A431" s="226" t="s">
        <v>311</v>
      </c>
      <c r="B431" s="9" t="s">
        <v>495</v>
      </c>
      <c r="C431" s="9">
        <v>0</v>
      </c>
      <c r="D431" s="9">
        <v>0</v>
      </c>
      <c r="E431" s="9"/>
      <c r="F431" s="9" t="s">
        <v>495</v>
      </c>
      <c r="G431" s="83">
        <v>11963</v>
      </c>
      <c r="H431" s="83">
        <f t="shared" si="92"/>
        <v>11963</v>
      </c>
      <c r="I431" s="133">
        <f t="shared" si="93"/>
        <v>1</v>
      </c>
      <c r="J431" s="82">
        <v>996.99</v>
      </c>
      <c r="K431" s="82">
        <v>996.91</v>
      </c>
      <c r="L431" s="82">
        <v>996.91</v>
      </c>
      <c r="M431" s="82">
        <v>996.91</v>
      </c>
      <c r="N431" s="82">
        <v>996.91</v>
      </c>
      <c r="O431" s="82">
        <v>996.91</v>
      </c>
      <c r="P431" s="82">
        <v>996.91</v>
      </c>
      <c r="Q431" s="82">
        <v>996.91</v>
      </c>
      <c r="R431" s="82">
        <v>996.91</v>
      </c>
      <c r="S431" s="23">
        <v>996.91</v>
      </c>
      <c r="T431" s="23">
        <v>996.91</v>
      </c>
      <c r="U431" s="23">
        <v>996.91</v>
      </c>
      <c r="V431" s="7" t="s">
        <v>792</v>
      </c>
      <c r="W431" s="82">
        <f t="shared" si="94"/>
        <v>0</v>
      </c>
      <c r="Y431" s="4"/>
      <c r="Z431" s="4"/>
      <c r="AA431" s="82"/>
      <c r="AB431" s="82"/>
      <c r="AC431" s="82"/>
      <c r="AE431" s="7" t="s">
        <v>474</v>
      </c>
      <c r="AH431" s="23">
        <f>SUM('2021 Detail'!J414:U414)+SUM('2021 Detail'!AA414:AC414)</f>
        <v>13171.999999999998</v>
      </c>
      <c r="AJ431" s="23">
        <f t="shared" si="95"/>
        <v>-1208.9999999999982</v>
      </c>
      <c r="AL431" t="str">
        <f t="shared" si="96"/>
        <v>Down</v>
      </c>
      <c r="AQ431" s="23">
        <v>1074.05</v>
      </c>
    </row>
    <row r="432" spans="1:43" x14ac:dyDescent="0.2">
      <c r="A432" s="226" t="s">
        <v>312</v>
      </c>
      <c r="B432" s="9" t="s">
        <v>495</v>
      </c>
      <c r="C432" s="9" t="s">
        <v>495</v>
      </c>
      <c r="D432" s="9" t="s">
        <v>495</v>
      </c>
      <c r="E432" s="9"/>
      <c r="F432" s="9">
        <v>0</v>
      </c>
      <c r="G432" s="83">
        <v>1907</v>
      </c>
      <c r="H432" s="83">
        <f t="shared" si="92"/>
        <v>0</v>
      </c>
      <c r="I432" s="133">
        <f t="shared" si="93"/>
        <v>0</v>
      </c>
      <c r="J432" s="82">
        <v>0</v>
      </c>
      <c r="K432" s="82"/>
      <c r="L432" s="82"/>
      <c r="M432" s="82"/>
      <c r="N432" s="82"/>
      <c r="O432" s="82"/>
      <c r="P432" s="82"/>
      <c r="Q432" s="82"/>
      <c r="R432" s="82"/>
      <c r="S432" s="23"/>
      <c r="T432" s="23"/>
      <c r="U432" s="23"/>
      <c r="V432" s="7" t="s">
        <v>793</v>
      </c>
      <c r="W432" s="82">
        <f t="shared" si="94"/>
        <v>1907</v>
      </c>
      <c r="Y432" s="4"/>
      <c r="Z432" s="4"/>
      <c r="AA432" s="82"/>
      <c r="AB432" s="82"/>
      <c r="AC432" s="82"/>
      <c r="AE432" s="7" t="s">
        <v>474</v>
      </c>
      <c r="AH432" s="23">
        <f>SUM('2021 Detail'!J415:U415)+SUM('2021 Detail'!AA415:AC415)</f>
        <v>0</v>
      </c>
      <c r="AJ432" s="23">
        <f t="shared" si="95"/>
        <v>0</v>
      </c>
      <c r="AL432" t="str">
        <f t="shared" si="96"/>
        <v>Same</v>
      </c>
    </row>
    <row r="433" spans="1:43" x14ac:dyDescent="0.2">
      <c r="A433" s="226" t="s">
        <v>313</v>
      </c>
      <c r="B433" s="9" t="s">
        <v>495</v>
      </c>
      <c r="C433" s="9" t="s">
        <v>495</v>
      </c>
      <c r="D433" s="9" t="s">
        <v>495</v>
      </c>
      <c r="E433" s="9"/>
      <c r="F433" s="9">
        <v>0</v>
      </c>
      <c r="G433" s="83">
        <v>10118</v>
      </c>
      <c r="H433" s="83">
        <f t="shared" si="92"/>
        <v>10118</v>
      </c>
      <c r="I433" s="133">
        <f t="shared" si="93"/>
        <v>1</v>
      </c>
      <c r="J433" s="82">
        <v>1000</v>
      </c>
      <c r="K433" s="82">
        <v>800</v>
      </c>
      <c r="L433" s="82">
        <v>1000</v>
      </c>
      <c r="M433" s="82">
        <v>1000</v>
      </c>
      <c r="N433" s="82">
        <v>1000</v>
      </c>
      <c r="O433" s="82">
        <v>1000</v>
      </c>
      <c r="P433" s="82">
        <v>1000</v>
      </c>
      <c r="Q433" s="82">
        <v>618</v>
      </c>
      <c r="R433" s="82">
        <v>700</v>
      </c>
      <c r="S433" s="23">
        <v>1000</v>
      </c>
      <c r="T433" s="23">
        <v>1000</v>
      </c>
      <c r="U433" s="23"/>
      <c r="V433" s="7" t="s">
        <v>794</v>
      </c>
      <c r="W433" s="82">
        <f t="shared" si="94"/>
        <v>0</v>
      </c>
      <c r="Y433" s="4"/>
      <c r="Z433" s="4"/>
      <c r="AA433" s="82"/>
      <c r="AB433" s="82"/>
      <c r="AC433" s="82"/>
      <c r="AE433" s="7" t="s">
        <v>474</v>
      </c>
      <c r="AH433" s="23">
        <f>SUM('2021 Detail'!J416:U416)+SUM('2021 Detail'!AA416:AC416)</f>
        <v>11141</v>
      </c>
      <c r="AJ433" s="23">
        <f t="shared" si="95"/>
        <v>-1023</v>
      </c>
      <c r="AL433" t="str">
        <f t="shared" si="96"/>
        <v>Down</v>
      </c>
      <c r="AQ433" s="23">
        <v>1500</v>
      </c>
    </row>
    <row r="434" spans="1:43" x14ac:dyDescent="0.2">
      <c r="A434" s="226" t="s">
        <v>314</v>
      </c>
      <c r="B434" s="9" t="s">
        <v>495</v>
      </c>
      <c r="C434" s="9" t="s">
        <v>495</v>
      </c>
      <c r="D434" s="9">
        <v>0</v>
      </c>
      <c r="E434" s="9"/>
      <c r="F434" s="9">
        <v>0</v>
      </c>
      <c r="G434" s="83">
        <v>6301</v>
      </c>
      <c r="H434" s="83">
        <f t="shared" si="92"/>
        <v>6301</v>
      </c>
      <c r="I434" s="133">
        <f t="shared" si="93"/>
        <v>1</v>
      </c>
      <c r="J434" s="82">
        <v>0</v>
      </c>
      <c r="K434" s="82"/>
      <c r="L434" s="82"/>
      <c r="M434" s="82"/>
      <c r="N434" s="82"/>
      <c r="O434" s="82">
        <v>4312</v>
      </c>
      <c r="P434" s="82"/>
      <c r="Q434" s="82"/>
      <c r="R434" s="82"/>
      <c r="S434" s="23">
        <v>1989</v>
      </c>
      <c r="T434" s="23"/>
      <c r="U434" s="23"/>
      <c r="V434" s="7" t="s">
        <v>795</v>
      </c>
      <c r="W434" s="82">
        <f t="shared" si="94"/>
        <v>0</v>
      </c>
      <c r="Y434" s="4"/>
      <c r="Z434" s="4"/>
      <c r="AA434" s="82"/>
      <c r="AB434" s="82"/>
      <c r="AC434" s="82"/>
      <c r="AE434" s="7" t="s">
        <v>474</v>
      </c>
      <c r="AH434" s="23">
        <f>SUM('2021 Detail'!J417:U417)+SUM('2021 Detail'!AA417:AC417)</f>
        <v>4000</v>
      </c>
      <c r="AJ434" s="23">
        <f t="shared" si="95"/>
        <v>2301</v>
      </c>
      <c r="AL434" t="str">
        <f t="shared" si="96"/>
        <v>Up</v>
      </c>
      <c r="AQ434" s="23">
        <v>3000</v>
      </c>
    </row>
    <row r="435" spans="1:43" x14ac:dyDescent="0.2">
      <c r="A435" s="226" t="s">
        <v>315</v>
      </c>
      <c r="B435" s="9" t="s">
        <v>495</v>
      </c>
      <c r="C435" s="9" t="s">
        <v>495</v>
      </c>
      <c r="D435" s="9">
        <v>0</v>
      </c>
      <c r="E435" s="9"/>
      <c r="F435" s="9">
        <v>0</v>
      </c>
      <c r="G435" s="83">
        <v>7214</v>
      </c>
      <c r="H435" s="83">
        <f t="shared" si="92"/>
        <v>7214</v>
      </c>
      <c r="I435" s="133">
        <f t="shared" si="93"/>
        <v>1</v>
      </c>
      <c r="J435" s="82">
        <v>0</v>
      </c>
      <c r="K435" s="82"/>
      <c r="L435" s="82"/>
      <c r="M435" s="82">
        <v>2000</v>
      </c>
      <c r="N435" s="82"/>
      <c r="O435" s="82">
        <v>2000</v>
      </c>
      <c r="P435" s="82"/>
      <c r="Q435" s="82"/>
      <c r="R435" s="82">
        <v>2000</v>
      </c>
      <c r="S435" s="23"/>
      <c r="T435" s="23">
        <v>1214</v>
      </c>
      <c r="U435" s="23"/>
      <c r="V435" s="7" t="s">
        <v>796</v>
      </c>
      <c r="W435" s="82">
        <f t="shared" si="94"/>
        <v>0</v>
      </c>
      <c r="Y435" s="4"/>
      <c r="Z435" s="4"/>
      <c r="AA435" s="82"/>
      <c r="AB435" s="82"/>
      <c r="AC435" s="82"/>
      <c r="AE435" s="7" t="s">
        <v>474</v>
      </c>
      <c r="AH435" s="23">
        <f>SUM('2021 Detail'!J418:U418)+SUM('2021 Detail'!AA418:AC418)</f>
        <v>7943</v>
      </c>
      <c r="AJ435" s="23">
        <f t="shared" si="95"/>
        <v>-729</v>
      </c>
      <c r="AL435" t="str">
        <f t="shared" si="96"/>
        <v>Down</v>
      </c>
      <c r="AQ435" s="23">
        <v>1443</v>
      </c>
    </row>
    <row r="436" spans="1:43" x14ac:dyDescent="0.2">
      <c r="A436" s="226" t="s">
        <v>316</v>
      </c>
      <c r="B436" s="9" t="s">
        <v>495</v>
      </c>
      <c r="C436" s="9" t="s">
        <v>495</v>
      </c>
      <c r="D436" s="9">
        <v>0</v>
      </c>
      <c r="E436" s="9"/>
      <c r="F436" s="9" t="s">
        <v>495</v>
      </c>
      <c r="G436" s="83">
        <v>95500</v>
      </c>
      <c r="H436" s="83">
        <f t="shared" si="92"/>
        <v>95500</v>
      </c>
      <c r="I436" s="133">
        <f t="shared" si="93"/>
        <v>1</v>
      </c>
      <c r="J436" s="82">
        <v>7500</v>
      </c>
      <c r="K436" s="82">
        <v>8000</v>
      </c>
      <c r="L436" s="82">
        <v>8000</v>
      </c>
      <c r="M436" s="82">
        <v>8000</v>
      </c>
      <c r="N436" s="82">
        <v>8000</v>
      </c>
      <c r="O436" s="82">
        <v>8000</v>
      </c>
      <c r="P436" s="82">
        <v>8000</v>
      </c>
      <c r="Q436" s="82">
        <v>8000</v>
      </c>
      <c r="R436" s="82">
        <v>8000</v>
      </c>
      <c r="S436" s="23">
        <v>8000</v>
      </c>
      <c r="T436" s="23">
        <v>8000</v>
      </c>
      <c r="U436" s="23">
        <v>8000</v>
      </c>
      <c r="V436" s="7" t="s">
        <v>797</v>
      </c>
      <c r="W436" s="82">
        <f t="shared" si="94"/>
        <v>0</v>
      </c>
      <c r="Y436" s="4"/>
      <c r="Z436" s="4"/>
      <c r="AA436" s="82"/>
      <c r="AB436" s="82"/>
      <c r="AC436" s="82"/>
      <c r="AE436" s="7" t="s">
        <v>475</v>
      </c>
      <c r="AH436" s="23">
        <f>SUM('2021 Detail'!J419:U419)+SUM('2021 Detail'!AA419:AC419)</f>
        <v>94587</v>
      </c>
      <c r="AJ436" s="23">
        <f t="shared" si="95"/>
        <v>913</v>
      </c>
      <c r="AL436" t="str">
        <f t="shared" si="96"/>
        <v>Up</v>
      </c>
      <c r="AQ436" s="23">
        <v>12087</v>
      </c>
    </row>
    <row r="437" spans="1:43" x14ac:dyDescent="0.2">
      <c r="A437" s="226" t="s">
        <v>317</v>
      </c>
      <c r="B437" s="9" t="s">
        <v>495</v>
      </c>
      <c r="C437" s="9">
        <v>0</v>
      </c>
      <c r="D437" s="9" t="s">
        <v>495</v>
      </c>
      <c r="E437" s="9"/>
      <c r="F437" s="9" t="s">
        <v>495</v>
      </c>
      <c r="G437" s="83">
        <v>5500</v>
      </c>
      <c r="H437" s="83">
        <f t="shared" si="92"/>
        <v>5500</v>
      </c>
      <c r="I437" s="133">
        <f t="shared" si="93"/>
        <v>1</v>
      </c>
      <c r="J437" s="82">
        <v>416.74</v>
      </c>
      <c r="K437" s="82">
        <v>462.16</v>
      </c>
      <c r="L437" s="82">
        <v>462.11</v>
      </c>
      <c r="M437" s="82">
        <v>462.11</v>
      </c>
      <c r="N437" s="82">
        <v>462.11</v>
      </c>
      <c r="O437" s="82">
        <v>462.11</v>
      </c>
      <c r="P437" s="82">
        <v>462.11</v>
      </c>
      <c r="Q437" s="82">
        <v>462.11</v>
      </c>
      <c r="R437" s="82">
        <v>462.11</v>
      </c>
      <c r="S437" s="23">
        <v>462.11</v>
      </c>
      <c r="T437" s="23">
        <v>462.11</v>
      </c>
      <c r="U437" s="23">
        <v>462.11</v>
      </c>
      <c r="V437" s="7" t="s">
        <v>798</v>
      </c>
      <c r="W437" s="82">
        <f t="shared" si="94"/>
        <v>0</v>
      </c>
      <c r="Y437" s="4"/>
      <c r="Z437" s="4"/>
      <c r="AA437" s="82"/>
      <c r="AB437" s="82"/>
      <c r="AC437" s="82"/>
      <c r="AE437" s="7" t="s">
        <v>475</v>
      </c>
      <c r="AH437" s="23">
        <f>SUM('2021 Detail'!J420:U420)+SUM('2021 Detail'!AA420:AC420)</f>
        <v>5249.9999999999991</v>
      </c>
      <c r="AJ437" s="23">
        <f t="shared" si="95"/>
        <v>250.00000000000091</v>
      </c>
      <c r="AL437" t="str">
        <f t="shared" si="96"/>
        <v>Up</v>
      </c>
      <c r="AQ437" s="23">
        <v>416.66</v>
      </c>
    </row>
    <row r="438" spans="1:43" x14ac:dyDescent="0.2">
      <c r="A438" s="226" t="s">
        <v>318</v>
      </c>
      <c r="B438" s="9" t="s">
        <v>495</v>
      </c>
      <c r="C438" s="9" t="s">
        <v>495</v>
      </c>
      <c r="D438" s="9">
        <v>0</v>
      </c>
      <c r="E438" s="9"/>
      <c r="F438" s="9">
        <v>0</v>
      </c>
      <c r="G438" s="83">
        <v>5000</v>
      </c>
      <c r="H438" s="83">
        <f t="shared" si="92"/>
        <v>5250</v>
      </c>
      <c r="I438" s="133">
        <f t="shared" si="93"/>
        <v>1.05</v>
      </c>
      <c r="J438" s="82">
        <v>1250</v>
      </c>
      <c r="K438" s="82"/>
      <c r="L438" s="82"/>
      <c r="M438" s="82"/>
      <c r="N438" s="82">
        <v>1250</v>
      </c>
      <c r="O438" s="82"/>
      <c r="P438" s="82"/>
      <c r="Q438" s="82">
        <v>1250</v>
      </c>
      <c r="R438" s="82"/>
      <c r="S438" s="23"/>
      <c r="T438" s="23">
        <v>1250</v>
      </c>
      <c r="U438" s="23">
        <v>250</v>
      </c>
      <c r="V438" s="7" t="s">
        <v>799</v>
      </c>
      <c r="W438" s="82">
        <f t="shared" si="94"/>
        <v>-250</v>
      </c>
      <c r="Y438" s="4"/>
      <c r="Z438" s="4"/>
      <c r="AA438" s="82"/>
      <c r="AB438" s="82"/>
      <c r="AC438" s="82"/>
      <c r="AE438" s="7" t="s">
        <v>475</v>
      </c>
      <c r="AH438" s="23">
        <f>SUM('2021 Detail'!J421:U421)+SUM('2021 Detail'!AA421:AC421)</f>
        <v>5000</v>
      </c>
      <c r="AJ438" s="23">
        <f t="shared" si="95"/>
        <v>250</v>
      </c>
      <c r="AL438" t="str">
        <f t="shared" si="96"/>
        <v>Up</v>
      </c>
    </row>
    <row r="439" spans="1:43" x14ac:dyDescent="0.2">
      <c r="A439" s="226" t="s">
        <v>319</v>
      </c>
      <c r="B439" s="9" t="s">
        <v>495</v>
      </c>
      <c r="C439" s="9" t="s">
        <v>495</v>
      </c>
      <c r="D439" s="9">
        <v>0</v>
      </c>
      <c r="E439" s="9"/>
      <c r="F439" s="9" t="s">
        <v>495</v>
      </c>
      <c r="G439" s="83">
        <v>11000</v>
      </c>
      <c r="H439" s="83">
        <f t="shared" si="92"/>
        <v>11000</v>
      </c>
      <c r="I439" s="133">
        <f t="shared" si="93"/>
        <v>1</v>
      </c>
      <c r="J439" s="82">
        <v>200</v>
      </c>
      <c r="K439" s="82">
        <v>200</v>
      </c>
      <c r="L439" s="82">
        <v>200</v>
      </c>
      <c r="M439" s="82">
        <v>200</v>
      </c>
      <c r="N439" s="82">
        <v>200</v>
      </c>
      <c r="O439" s="82">
        <v>200</v>
      </c>
      <c r="P439" s="82">
        <v>200</v>
      </c>
      <c r="Q439" s="82">
        <v>4200</v>
      </c>
      <c r="R439" s="82">
        <v>200</v>
      </c>
      <c r="S439" s="23">
        <v>200</v>
      </c>
      <c r="T439" s="23">
        <v>4800</v>
      </c>
      <c r="U439" s="23">
        <v>200</v>
      </c>
      <c r="V439" s="7" t="s">
        <v>800</v>
      </c>
      <c r="W439" s="82">
        <f t="shared" si="94"/>
        <v>0</v>
      </c>
      <c r="Y439" s="4"/>
      <c r="Z439" s="4"/>
      <c r="AA439" s="82"/>
      <c r="AB439" s="82"/>
      <c r="AC439" s="82"/>
      <c r="AE439" s="7" t="s">
        <v>475</v>
      </c>
      <c r="AH439" s="23">
        <f>SUM('2021 Detail'!J422:U422)+SUM('2021 Detail'!AA422:AC422)</f>
        <v>10500</v>
      </c>
      <c r="AJ439" s="23">
        <f t="shared" si="95"/>
        <v>500</v>
      </c>
      <c r="AL439" t="str">
        <f t="shared" si="96"/>
        <v>Up</v>
      </c>
      <c r="AQ439" s="23">
        <v>200</v>
      </c>
    </row>
    <row r="440" spans="1:43" x14ac:dyDescent="0.2">
      <c r="A440" s="226" t="s">
        <v>320</v>
      </c>
      <c r="B440" s="9" t="s">
        <v>495</v>
      </c>
      <c r="C440" s="9" t="s">
        <v>495</v>
      </c>
      <c r="D440" s="9" t="s">
        <v>495</v>
      </c>
      <c r="E440" s="9"/>
      <c r="F440" s="9" t="s">
        <v>495</v>
      </c>
      <c r="G440" s="83">
        <v>5500</v>
      </c>
      <c r="H440" s="83">
        <f t="shared" si="92"/>
        <v>5500</v>
      </c>
      <c r="I440" s="133">
        <f t="shared" si="93"/>
        <v>1</v>
      </c>
      <c r="J440" s="82">
        <v>416.74</v>
      </c>
      <c r="K440" s="82">
        <v>462.16</v>
      </c>
      <c r="L440" s="82">
        <v>462.11</v>
      </c>
      <c r="M440" s="82">
        <v>462.11</v>
      </c>
      <c r="N440" s="82">
        <v>462.11</v>
      </c>
      <c r="O440" s="82">
        <v>462.11</v>
      </c>
      <c r="P440" s="82">
        <v>462.11</v>
      </c>
      <c r="Q440" s="82">
        <v>462.11</v>
      </c>
      <c r="R440" s="82">
        <v>462.11</v>
      </c>
      <c r="S440" s="23">
        <v>462.11</v>
      </c>
      <c r="T440" s="23">
        <v>462.11</v>
      </c>
      <c r="U440" s="23">
        <v>462.11</v>
      </c>
      <c r="V440" s="7" t="s">
        <v>801</v>
      </c>
      <c r="W440" s="82">
        <f t="shared" si="94"/>
        <v>0</v>
      </c>
      <c r="Y440" s="4"/>
      <c r="Z440" s="4"/>
      <c r="AA440" s="82"/>
      <c r="AB440" s="82"/>
      <c r="AC440" s="82"/>
      <c r="AE440" s="7" t="s">
        <v>475</v>
      </c>
      <c r="AH440" s="23">
        <f>SUM('2021 Detail'!J423:U423)+SUM('2021 Detail'!AA423:AC423)</f>
        <v>4999.9999999999991</v>
      </c>
      <c r="AJ440" s="23">
        <f t="shared" si="95"/>
        <v>500.00000000000091</v>
      </c>
      <c r="AL440" t="str">
        <f t="shared" si="96"/>
        <v>Up</v>
      </c>
      <c r="AQ440" s="23">
        <v>416.66</v>
      </c>
    </row>
    <row r="441" spans="1:43" x14ac:dyDescent="0.2">
      <c r="A441" s="226" t="s">
        <v>321</v>
      </c>
      <c r="B441" s="9" t="s">
        <v>495</v>
      </c>
      <c r="C441" s="9" t="s">
        <v>495</v>
      </c>
      <c r="D441" s="9" t="s">
        <v>495</v>
      </c>
      <c r="E441" s="9"/>
      <c r="F441" s="9" t="s">
        <v>495</v>
      </c>
      <c r="G441" s="83">
        <v>9539</v>
      </c>
      <c r="H441" s="83">
        <f t="shared" si="92"/>
        <v>9539</v>
      </c>
      <c r="I441" s="133">
        <f t="shared" si="93"/>
        <v>1</v>
      </c>
      <c r="J441" s="82">
        <v>794.99</v>
      </c>
      <c r="K441" s="82">
        <v>794.91</v>
      </c>
      <c r="L441" s="82">
        <v>794.91</v>
      </c>
      <c r="M441" s="82">
        <v>794.91</v>
      </c>
      <c r="N441" s="82">
        <v>794.91</v>
      </c>
      <c r="O441" s="82">
        <v>794.91</v>
      </c>
      <c r="P441" s="82">
        <v>794.91</v>
      </c>
      <c r="Q441" s="82">
        <v>794.91</v>
      </c>
      <c r="R441" s="82">
        <v>794.91</v>
      </c>
      <c r="S441" s="23">
        <v>794.91</v>
      </c>
      <c r="T441" s="23">
        <v>794.91</v>
      </c>
      <c r="U441" s="23">
        <v>794.91</v>
      </c>
      <c r="V441" s="7" t="s">
        <v>802</v>
      </c>
      <c r="W441" s="82">
        <f t="shared" si="94"/>
        <v>0</v>
      </c>
      <c r="Y441" s="4"/>
      <c r="Z441" s="4"/>
      <c r="AA441" s="82"/>
      <c r="AB441" s="82"/>
      <c r="AC441" s="82"/>
      <c r="AE441" s="7" t="s">
        <v>472</v>
      </c>
      <c r="AH441" s="23">
        <f>SUM('2021 Detail'!J424:U424)+SUM('2021 Detail'!AA424:AC424)</f>
        <v>9539</v>
      </c>
      <c r="AJ441" s="23">
        <f t="shared" si="95"/>
        <v>0</v>
      </c>
      <c r="AL441" t="str">
        <f t="shared" si="96"/>
        <v>Same</v>
      </c>
      <c r="AQ441" s="23">
        <v>794.91</v>
      </c>
    </row>
    <row r="442" spans="1:43" x14ac:dyDescent="0.2">
      <c r="A442" s="226" t="s">
        <v>322</v>
      </c>
      <c r="B442" s="9" t="s">
        <v>495</v>
      </c>
      <c r="C442" s="9" t="s">
        <v>495</v>
      </c>
      <c r="D442" s="9" t="s">
        <v>495</v>
      </c>
      <c r="E442" s="9"/>
      <c r="F442" s="9">
        <v>0</v>
      </c>
      <c r="G442" s="83">
        <v>8049</v>
      </c>
      <c r="H442" s="83">
        <f t="shared" si="92"/>
        <v>6000</v>
      </c>
      <c r="I442" s="133">
        <f t="shared" si="93"/>
        <v>0.74539999999999995</v>
      </c>
      <c r="J442" s="82">
        <v>0</v>
      </c>
      <c r="K442" s="82">
        <v>1200</v>
      </c>
      <c r="L442" s="82"/>
      <c r="M442" s="82">
        <v>800</v>
      </c>
      <c r="N442" s="82"/>
      <c r="O442" s="82"/>
      <c r="P442" s="82"/>
      <c r="Q442" s="82">
        <v>2000</v>
      </c>
      <c r="R442" s="82"/>
      <c r="S442" s="23"/>
      <c r="T442" s="23"/>
      <c r="U442" s="23">
        <v>2000</v>
      </c>
      <c r="V442" s="7" t="s">
        <v>803</v>
      </c>
      <c r="W442" s="82">
        <f t="shared" si="94"/>
        <v>2049</v>
      </c>
      <c r="Y442" s="4"/>
      <c r="Z442" s="4"/>
      <c r="AA442" s="82"/>
      <c r="AB442" s="82"/>
      <c r="AC442" s="82"/>
      <c r="AE442" s="7" t="s">
        <v>472</v>
      </c>
      <c r="AH442" s="23">
        <f>SUM('2021 Detail'!J425:U425)+SUM('2021 Detail'!AA425:AC425)</f>
        <v>8049</v>
      </c>
      <c r="AJ442" s="23">
        <f t="shared" si="95"/>
        <v>-2049</v>
      </c>
      <c r="AL442" t="str">
        <f t="shared" si="96"/>
        <v>Down</v>
      </c>
      <c r="AQ442" s="23">
        <v>2400</v>
      </c>
    </row>
    <row r="443" spans="1:43" x14ac:dyDescent="0.2">
      <c r="A443" s="226" t="s">
        <v>323</v>
      </c>
      <c r="B443" s="9" t="s">
        <v>495</v>
      </c>
      <c r="C443" s="9" t="s">
        <v>495</v>
      </c>
      <c r="D443" s="9" t="s">
        <v>495</v>
      </c>
      <c r="E443" s="9"/>
      <c r="F443" s="9" t="s">
        <v>495</v>
      </c>
      <c r="G443" s="83">
        <v>11391</v>
      </c>
      <c r="H443" s="83">
        <f t="shared" si="92"/>
        <v>11391</v>
      </c>
      <c r="I443" s="133">
        <f t="shared" si="93"/>
        <v>1</v>
      </c>
      <c r="J443" s="82">
        <v>949.25</v>
      </c>
      <c r="K443" s="82">
        <v>949.25</v>
      </c>
      <c r="L443" s="82">
        <v>949.25</v>
      </c>
      <c r="M443" s="82">
        <v>949.25</v>
      </c>
      <c r="N443" s="82">
        <v>949.25</v>
      </c>
      <c r="O443" s="82">
        <v>949.25</v>
      </c>
      <c r="P443" s="82">
        <v>949.25</v>
      </c>
      <c r="Q443" s="82">
        <v>949.25</v>
      </c>
      <c r="R443" s="82">
        <v>949.25</v>
      </c>
      <c r="S443" s="23">
        <v>949.25</v>
      </c>
      <c r="T443" s="23">
        <v>949.25</v>
      </c>
      <c r="U443" s="23">
        <v>949.25</v>
      </c>
      <c r="V443" s="7" t="s">
        <v>804</v>
      </c>
      <c r="W443" s="82">
        <f t="shared" si="94"/>
        <v>0</v>
      </c>
      <c r="Y443" s="4"/>
      <c r="Z443" s="4"/>
      <c r="AA443" s="82"/>
      <c r="AB443" s="82"/>
      <c r="AC443" s="82"/>
      <c r="AE443" s="7" t="s">
        <v>472</v>
      </c>
      <c r="AH443" s="23">
        <f>SUM('2021 Detail'!J426:U426)+SUM('2021 Detail'!AA426:AC426)</f>
        <v>11391</v>
      </c>
      <c r="AJ443" s="23">
        <f t="shared" si="95"/>
        <v>0</v>
      </c>
      <c r="AL443" t="str">
        <f t="shared" si="96"/>
        <v>Same</v>
      </c>
      <c r="AQ443" s="23">
        <v>949.25</v>
      </c>
    </row>
    <row r="444" spans="1:43" x14ac:dyDescent="0.2">
      <c r="A444" s="226" t="s">
        <v>324</v>
      </c>
      <c r="B444" s="9" t="s">
        <v>495</v>
      </c>
      <c r="C444" s="9" t="s">
        <v>495</v>
      </c>
      <c r="D444" s="9" t="s">
        <v>495</v>
      </c>
      <c r="E444" s="9"/>
      <c r="F444" s="9" t="s">
        <v>495</v>
      </c>
      <c r="G444" s="83">
        <v>2130</v>
      </c>
      <c r="H444" s="83">
        <f t="shared" si="92"/>
        <v>2130</v>
      </c>
      <c r="I444" s="133">
        <f t="shared" si="93"/>
        <v>1</v>
      </c>
      <c r="J444" s="82">
        <v>177.5</v>
      </c>
      <c r="K444" s="82">
        <v>177.5</v>
      </c>
      <c r="L444" s="82">
        <v>177.5</v>
      </c>
      <c r="M444" s="82">
        <v>177.5</v>
      </c>
      <c r="N444" s="82">
        <v>177.5</v>
      </c>
      <c r="O444" s="82">
        <v>177.5</v>
      </c>
      <c r="P444" s="82">
        <v>177.5</v>
      </c>
      <c r="Q444" s="82">
        <v>177.5</v>
      </c>
      <c r="R444" s="82">
        <v>177.5</v>
      </c>
      <c r="S444" s="23">
        <v>177.5</v>
      </c>
      <c r="T444" s="23">
        <v>177.5</v>
      </c>
      <c r="U444" s="23">
        <v>177.5</v>
      </c>
      <c r="V444" s="7" t="s">
        <v>805</v>
      </c>
      <c r="W444" s="82">
        <f t="shared" si="94"/>
        <v>0</v>
      </c>
      <c r="Y444" s="4"/>
      <c r="Z444" s="4"/>
      <c r="AA444" s="82"/>
      <c r="AB444" s="82"/>
      <c r="AC444" s="82"/>
      <c r="AE444" s="7" t="s">
        <v>472</v>
      </c>
      <c r="AH444" s="23">
        <f>SUM('2021 Detail'!J427:U427)+SUM('2021 Detail'!AA427:AC427)</f>
        <v>2130</v>
      </c>
      <c r="AJ444" s="23">
        <f t="shared" si="95"/>
        <v>0</v>
      </c>
      <c r="AL444" t="str">
        <f t="shared" si="96"/>
        <v>Same</v>
      </c>
      <c r="AQ444" s="23">
        <v>177.5</v>
      </c>
    </row>
    <row r="445" spans="1:43" x14ac:dyDescent="0.2">
      <c r="A445" s="226" t="s">
        <v>325</v>
      </c>
      <c r="B445" s="9" t="s">
        <v>495</v>
      </c>
      <c r="C445" s="9" t="s">
        <v>495</v>
      </c>
      <c r="D445" s="9" t="s">
        <v>495</v>
      </c>
      <c r="E445" s="9"/>
      <c r="F445" s="9" t="s">
        <v>495</v>
      </c>
      <c r="G445" s="83">
        <v>6000</v>
      </c>
      <c r="H445" s="83">
        <f t="shared" si="92"/>
        <v>6000.0000000000009</v>
      </c>
      <c r="I445" s="133">
        <f t="shared" si="93"/>
        <v>1</v>
      </c>
      <c r="J445" s="82">
        <v>416.74</v>
      </c>
      <c r="K445" s="82">
        <v>507.66</v>
      </c>
      <c r="L445" s="82">
        <v>507.56</v>
      </c>
      <c r="M445" s="82">
        <v>507.56</v>
      </c>
      <c r="N445" s="82">
        <v>507.56</v>
      </c>
      <c r="O445" s="82">
        <v>507.56</v>
      </c>
      <c r="P445" s="82">
        <v>507.56</v>
      </c>
      <c r="Q445" s="82">
        <v>507.56</v>
      </c>
      <c r="R445" s="82">
        <v>507.56</v>
      </c>
      <c r="S445" s="23">
        <v>507.56</v>
      </c>
      <c r="T445" s="23">
        <v>507.56</v>
      </c>
      <c r="U445" s="23">
        <v>507.56</v>
      </c>
      <c r="V445" s="7" t="s">
        <v>806</v>
      </c>
      <c r="W445" s="82">
        <f t="shared" si="94"/>
        <v>0</v>
      </c>
      <c r="Y445" s="4"/>
      <c r="Z445" s="4"/>
      <c r="AA445" s="82"/>
      <c r="AB445" s="82"/>
      <c r="AC445" s="82"/>
      <c r="AE445" s="7" t="s">
        <v>475</v>
      </c>
      <c r="AH445" s="23">
        <f>SUM('2021 Detail'!J428:U428)+SUM('2021 Detail'!AA428:AC428)</f>
        <v>6499.9999999999991</v>
      </c>
      <c r="AJ445" s="23">
        <f t="shared" si="95"/>
        <v>-499.99999999999818</v>
      </c>
      <c r="AL445" t="str">
        <f t="shared" si="96"/>
        <v>Down</v>
      </c>
      <c r="AQ445" s="23">
        <v>630.95000000000005</v>
      </c>
    </row>
    <row r="446" spans="1:43" x14ac:dyDescent="0.2">
      <c r="A446" s="226" t="s">
        <v>326</v>
      </c>
      <c r="B446" s="9" t="s">
        <v>495</v>
      </c>
      <c r="C446" s="9" t="s">
        <v>495</v>
      </c>
      <c r="D446" s="9" t="s">
        <v>495</v>
      </c>
      <c r="E446" s="9"/>
      <c r="F446" s="9" t="s">
        <v>495</v>
      </c>
      <c r="G446" s="83">
        <v>37000</v>
      </c>
      <c r="H446" s="83">
        <f t="shared" si="92"/>
        <v>37000.000000000007</v>
      </c>
      <c r="I446" s="133">
        <f t="shared" si="93"/>
        <v>1</v>
      </c>
      <c r="J446" s="82">
        <v>3083.37</v>
      </c>
      <c r="K446" s="82">
        <v>3083.33</v>
      </c>
      <c r="L446" s="82">
        <v>3083.33</v>
      </c>
      <c r="M446" s="82">
        <v>3083.33</v>
      </c>
      <c r="N446" s="82">
        <v>3083.33</v>
      </c>
      <c r="O446" s="82">
        <v>3083.33</v>
      </c>
      <c r="P446" s="82">
        <v>3083.33</v>
      </c>
      <c r="Q446" s="82">
        <v>3083.33</v>
      </c>
      <c r="R446" s="82">
        <v>3083.33</v>
      </c>
      <c r="S446" s="23">
        <v>3083.33</v>
      </c>
      <c r="T446" s="23">
        <v>3083.33</v>
      </c>
      <c r="U446" s="23">
        <v>3083.33</v>
      </c>
      <c r="V446" s="7" t="s">
        <v>807</v>
      </c>
      <c r="W446" s="82">
        <f t="shared" si="94"/>
        <v>0</v>
      </c>
      <c r="Y446" s="4"/>
      <c r="Z446" s="4"/>
      <c r="AA446" s="82"/>
      <c r="AB446" s="82"/>
      <c r="AC446" s="82"/>
      <c r="AE446" s="7" t="s">
        <v>475</v>
      </c>
      <c r="AH446" s="23">
        <f>SUM('2021 Detail'!J429:U429)+SUM('2021 Detail'!AA429:AC429)</f>
        <v>37000</v>
      </c>
      <c r="AJ446" s="23">
        <f t="shared" si="95"/>
        <v>0</v>
      </c>
      <c r="AL446" t="str">
        <f t="shared" si="96"/>
        <v>Same</v>
      </c>
      <c r="AQ446" s="23">
        <v>3316.66</v>
      </c>
    </row>
    <row r="447" spans="1:43" x14ac:dyDescent="0.2">
      <c r="A447" s="226" t="s">
        <v>327</v>
      </c>
      <c r="B447" s="9" t="s">
        <v>495</v>
      </c>
      <c r="C447" s="9">
        <v>0</v>
      </c>
      <c r="D447" s="9">
        <v>0</v>
      </c>
      <c r="E447" s="9"/>
      <c r="F447" s="9" t="s">
        <v>495</v>
      </c>
      <c r="G447" s="83">
        <v>10000</v>
      </c>
      <c r="H447" s="83">
        <f t="shared" si="92"/>
        <v>10000.000000000002</v>
      </c>
      <c r="I447" s="133">
        <f t="shared" si="93"/>
        <v>1</v>
      </c>
      <c r="J447" s="82">
        <v>833.33</v>
      </c>
      <c r="K447" s="82">
        <v>833.33</v>
      </c>
      <c r="L447" s="82">
        <v>833.33</v>
      </c>
      <c r="M447" s="82">
        <v>833.33</v>
      </c>
      <c r="N447" s="82">
        <v>833.33</v>
      </c>
      <c r="O447" s="82">
        <v>833.33</v>
      </c>
      <c r="P447" s="82">
        <v>833.33</v>
      </c>
      <c r="Q447" s="82">
        <v>833.33</v>
      </c>
      <c r="R447" s="82">
        <v>833.33</v>
      </c>
      <c r="S447" s="23">
        <v>833.33</v>
      </c>
      <c r="T447" s="23">
        <v>833.33</v>
      </c>
      <c r="U447" s="23">
        <v>833.37</v>
      </c>
      <c r="V447" s="7" t="s">
        <v>808</v>
      </c>
      <c r="W447" s="82">
        <f t="shared" si="94"/>
        <v>0</v>
      </c>
      <c r="Y447" s="4"/>
      <c r="Z447" s="4"/>
      <c r="AA447" s="82"/>
      <c r="AB447" s="82"/>
      <c r="AC447" s="82"/>
      <c r="AE447" s="7" t="s">
        <v>475</v>
      </c>
      <c r="AH447" s="23">
        <f>SUM('2021 Detail'!J430:U430)+SUM('2021 Detail'!AA430:AC430)</f>
        <v>10550</v>
      </c>
      <c r="AJ447" s="23">
        <f t="shared" si="95"/>
        <v>-549.99999999999818</v>
      </c>
      <c r="AL447" t="str">
        <f t="shared" si="96"/>
        <v>Down</v>
      </c>
      <c r="AQ447" s="23">
        <v>833.37</v>
      </c>
    </row>
    <row r="448" spans="1:43" x14ac:dyDescent="0.2">
      <c r="A448" s="226" t="s">
        <v>328</v>
      </c>
      <c r="B448" s="9" t="s">
        <v>495</v>
      </c>
      <c r="C448" s="9" t="s">
        <v>495</v>
      </c>
      <c r="D448" s="9">
        <v>0</v>
      </c>
      <c r="E448" s="9"/>
      <c r="F448" s="9" t="s">
        <v>495</v>
      </c>
      <c r="G448" s="83">
        <v>69033</v>
      </c>
      <c r="H448" s="83">
        <f t="shared" si="92"/>
        <v>69033</v>
      </c>
      <c r="I448" s="133">
        <f t="shared" si="93"/>
        <v>1</v>
      </c>
      <c r="J448" s="82">
        <v>5752.75</v>
      </c>
      <c r="K448" s="82">
        <v>5752.75</v>
      </c>
      <c r="L448" s="82">
        <v>5752.75</v>
      </c>
      <c r="M448" s="82">
        <v>5752.75</v>
      </c>
      <c r="N448" s="82">
        <v>5752.75</v>
      </c>
      <c r="O448" s="82">
        <v>5752.75</v>
      </c>
      <c r="P448" s="82">
        <v>5752.75</v>
      </c>
      <c r="Q448" s="82">
        <v>5752.75</v>
      </c>
      <c r="R448" s="82">
        <v>5752.75</v>
      </c>
      <c r="S448" s="23">
        <v>5752.75</v>
      </c>
      <c r="T448" s="23">
        <v>5752.75</v>
      </c>
      <c r="U448" s="23">
        <v>5752.75</v>
      </c>
      <c r="V448" s="7" t="s">
        <v>809</v>
      </c>
      <c r="W448" s="82">
        <f t="shared" si="94"/>
        <v>0</v>
      </c>
      <c r="Y448" s="4"/>
      <c r="Z448" s="4"/>
      <c r="AA448" s="82"/>
      <c r="AB448" s="82"/>
      <c r="AC448" s="82"/>
      <c r="AE448" s="7" t="s">
        <v>476</v>
      </c>
      <c r="AH448" s="23">
        <f>SUM('2021 Detail'!J431:U431)+SUM('2021 Detail'!AA431:AC431)</f>
        <v>69033</v>
      </c>
      <c r="AJ448" s="23">
        <f t="shared" si="95"/>
        <v>0</v>
      </c>
      <c r="AL448" t="str">
        <f t="shared" si="96"/>
        <v>Same</v>
      </c>
      <c r="AQ448" s="23">
        <v>5752.75</v>
      </c>
    </row>
    <row r="449" spans="1:48" x14ac:dyDescent="0.2">
      <c r="A449" s="226" t="s">
        <v>329</v>
      </c>
      <c r="B449" s="9" t="s">
        <v>495</v>
      </c>
      <c r="C449" s="9" t="s">
        <v>495</v>
      </c>
      <c r="D449" s="9" t="s">
        <v>495</v>
      </c>
      <c r="E449" s="9"/>
      <c r="F449" s="9">
        <v>0</v>
      </c>
      <c r="G449" s="83">
        <v>7671</v>
      </c>
      <c r="H449" s="83">
        <f t="shared" si="92"/>
        <v>7671</v>
      </c>
      <c r="I449" s="133">
        <f t="shared" si="93"/>
        <v>1</v>
      </c>
      <c r="J449" s="82">
        <v>0</v>
      </c>
      <c r="K449" s="82"/>
      <c r="L449" s="82">
        <v>2000</v>
      </c>
      <c r="M449" s="82"/>
      <c r="N449" s="82"/>
      <c r="O449" s="82">
        <v>2000</v>
      </c>
      <c r="P449" s="82"/>
      <c r="Q449" s="82"/>
      <c r="R449" s="82"/>
      <c r="S449" s="23"/>
      <c r="T449" s="23">
        <v>2000</v>
      </c>
      <c r="U449" s="23"/>
      <c r="V449" s="7" t="s">
        <v>810</v>
      </c>
      <c r="W449" s="82">
        <f t="shared" si="94"/>
        <v>0</v>
      </c>
      <c r="Y449" s="4"/>
      <c r="Z449" s="4"/>
      <c r="AA449" s="82"/>
      <c r="AB449" s="82">
        <v>1671</v>
      </c>
      <c r="AC449" s="82"/>
      <c r="AE449" s="7" t="s">
        <v>476</v>
      </c>
      <c r="AH449" s="23">
        <f>SUM('2021 Detail'!J432:U432)+SUM('2021 Detail'!AA432:AC432)</f>
        <v>4500</v>
      </c>
      <c r="AJ449" s="23">
        <f t="shared" si="95"/>
        <v>3171</v>
      </c>
      <c r="AL449" t="str">
        <f t="shared" si="96"/>
        <v>Up</v>
      </c>
      <c r="AQ449" s="23">
        <v>1500</v>
      </c>
    </row>
    <row r="450" spans="1:48" x14ac:dyDescent="0.2">
      <c r="A450" s="226" t="s">
        <v>330</v>
      </c>
      <c r="B450" s="9" t="s">
        <v>495</v>
      </c>
      <c r="C450" s="9" t="s">
        <v>495</v>
      </c>
      <c r="D450" s="9" t="s">
        <v>495</v>
      </c>
      <c r="E450" s="9"/>
      <c r="F450" s="9" t="s">
        <v>495</v>
      </c>
      <c r="G450" s="83">
        <v>8267</v>
      </c>
      <c r="H450" s="83">
        <f t="shared" si="92"/>
        <v>8267</v>
      </c>
      <c r="I450" s="133">
        <f t="shared" si="93"/>
        <v>1</v>
      </c>
      <c r="J450" s="82">
        <v>0</v>
      </c>
      <c r="K450" s="82"/>
      <c r="L450" s="82"/>
      <c r="M450" s="82"/>
      <c r="N450" s="82"/>
      <c r="O450" s="82"/>
      <c r="P450" s="82">
        <v>4133.5</v>
      </c>
      <c r="Q450" s="82"/>
      <c r="R450" s="82"/>
      <c r="S450" s="23">
        <v>2066.75</v>
      </c>
      <c r="T450" s="23">
        <v>2066.75</v>
      </c>
      <c r="U450" s="23"/>
      <c r="V450" s="7" t="s">
        <v>811</v>
      </c>
      <c r="W450" s="82">
        <f t="shared" si="94"/>
        <v>0</v>
      </c>
      <c r="Y450" s="4"/>
      <c r="Z450" s="4"/>
      <c r="AA450" s="82"/>
      <c r="AB450" s="82"/>
      <c r="AC450" s="82"/>
      <c r="AE450" s="7" t="s">
        <v>474</v>
      </c>
      <c r="AH450" s="23">
        <f>SUM('2021 Detail'!J433:U433)+SUM('2021 Detail'!AA433:AC433)</f>
        <v>9103</v>
      </c>
      <c r="AJ450" s="23">
        <f t="shared" si="95"/>
        <v>-836</v>
      </c>
      <c r="AL450" t="str">
        <f t="shared" si="96"/>
        <v>Down</v>
      </c>
      <c r="AQ450" s="23">
        <v>2275.7399999999998</v>
      </c>
    </row>
    <row r="451" spans="1:48" x14ac:dyDescent="0.2">
      <c r="A451" s="226" t="s">
        <v>331</v>
      </c>
      <c r="B451" s="9" t="s">
        <v>495</v>
      </c>
      <c r="C451" s="9" t="s">
        <v>495</v>
      </c>
      <c r="D451" s="9">
        <v>0</v>
      </c>
      <c r="E451" s="9"/>
      <c r="F451" s="9" t="s">
        <v>495</v>
      </c>
      <c r="G451" s="83">
        <v>11380</v>
      </c>
      <c r="H451" s="83">
        <f t="shared" si="92"/>
        <v>11380</v>
      </c>
      <c r="I451" s="133">
        <f t="shared" si="93"/>
        <v>1</v>
      </c>
      <c r="J451" s="82">
        <v>948.37</v>
      </c>
      <c r="K451" s="82">
        <v>948.33</v>
      </c>
      <c r="L451" s="82">
        <v>948.33</v>
      </c>
      <c r="M451" s="82">
        <v>948.33</v>
      </c>
      <c r="N451" s="82">
        <v>948.33</v>
      </c>
      <c r="O451" s="82">
        <v>948.33</v>
      </c>
      <c r="P451" s="82">
        <v>948.33</v>
      </c>
      <c r="Q451" s="82">
        <v>948.33</v>
      </c>
      <c r="R451" s="82">
        <v>948.33</v>
      </c>
      <c r="S451" s="23">
        <v>948.33</v>
      </c>
      <c r="T451" s="23">
        <v>948.33</v>
      </c>
      <c r="U451" s="23">
        <v>948.33</v>
      </c>
      <c r="V451" s="7" t="s">
        <v>812</v>
      </c>
      <c r="W451" s="82">
        <f t="shared" si="94"/>
        <v>0</v>
      </c>
      <c r="Y451" s="4"/>
      <c r="Z451" s="4"/>
      <c r="AA451" s="82"/>
      <c r="AB451" s="82"/>
      <c r="AC451" s="82"/>
      <c r="AE451" s="7" t="s">
        <v>477</v>
      </c>
      <c r="AH451" s="23">
        <f>SUM('2021 Detail'!J434:U434)+SUM('2021 Detail'!AA434:AC434)</f>
        <v>11276</v>
      </c>
      <c r="AJ451" s="23">
        <f t="shared" si="95"/>
        <v>104</v>
      </c>
      <c r="AL451" t="str">
        <f t="shared" si="96"/>
        <v>Up</v>
      </c>
      <c r="AQ451" s="23">
        <v>939.66</v>
      </c>
    </row>
    <row r="452" spans="1:48" x14ac:dyDescent="0.2">
      <c r="A452" s="226" t="s">
        <v>332</v>
      </c>
      <c r="B452" s="9" t="s">
        <v>495</v>
      </c>
      <c r="C452" s="9" t="s">
        <v>495</v>
      </c>
      <c r="D452" s="9" t="s">
        <v>495</v>
      </c>
      <c r="E452" s="9"/>
      <c r="F452" s="9" t="s">
        <v>495</v>
      </c>
      <c r="G452" s="83">
        <v>9037</v>
      </c>
      <c r="H452" s="83">
        <f t="shared" si="92"/>
        <v>9037</v>
      </c>
      <c r="I452" s="133">
        <f t="shared" si="93"/>
        <v>1</v>
      </c>
      <c r="J452" s="82">
        <v>753.12</v>
      </c>
      <c r="K452" s="82">
        <v>753.08</v>
      </c>
      <c r="L452" s="82">
        <v>753.08</v>
      </c>
      <c r="M452" s="82">
        <v>753.08</v>
      </c>
      <c r="N452" s="82">
        <v>753.08</v>
      </c>
      <c r="O452" s="82">
        <v>753.08</v>
      </c>
      <c r="P452" s="82">
        <v>753.08</v>
      </c>
      <c r="Q452" s="82">
        <v>753.08</v>
      </c>
      <c r="R452" s="82">
        <v>753.08</v>
      </c>
      <c r="S452" s="23">
        <v>753.08</v>
      </c>
      <c r="T452" s="23">
        <v>753.08</v>
      </c>
      <c r="U452" s="23">
        <v>753.08</v>
      </c>
      <c r="V452" s="7" t="s">
        <v>813</v>
      </c>
      <c r="W452" s="82">
        <f t="shared" si="94"/>
        <v>0</v>
      </c>
      <c r="Y452" s="4"/>
      <c r="Z452" s="4"/>
      <c r="AA452" s="82"/>
      <c r="AB452" s="82"/>
      <c r="AC452" s="82"/>
      <c r="AE452" s="7" t="s">
        <v>477</v>
      </c>
      <c r="AH452" s="23">
        <f>SUM('2021 Detail'!J435:U435)+SUM('2021 Detail'!AA435:AC435)</f>
        <v>9009</v>
      </c>
      <c r="AJ452" s="23">
        <f t="shared" si="95"/>
        <v>28</v>
      </c>
      <c r="AL452" t="str">
        <f t="shared" si="96"/>
        <v>Up</v>
      </c>
      <c r="AQ452" s="23">
        <v>750.75</v>
      </c>
    </row>
    <row r="453" spans="1:48" s="6" customFormat="1" x14ac:dyDescent="0.2">
      <c r="A453" s="226" t="s">
        <v>333</v>
      </c>
      <c r="B453" s="9" t="s">
        <v>495</v>
      </c>
      <c r="C453" s="9">
        <v>0</v>
      </c>
      <c r="D453" s="9">
        <v>0</v>
      </c>
      <c r="E453" s="9"/>
      <c r="F453" s="9" t="s">
        <v>495</v>
      </c>
      <c r="G453" s="83">
        <v>2319</v>
      </c>
      <c r="H453" s="83">
        <f t="shared" si="92"/>
        <v>2319</v>
      </c>
      <c r="I453" s="133">
        <f t="shared" si="93"/>
        <v>1</v>
      </c>
      <c r="J453" s="82">
        <v>193.25</v>
      </c>
      <c r="K453" s="82">
        <v>193.25</v>
      </c>
      <c r="L453" s="82">
        <v>193.25</v>
      </c>
      <c r="M453" s="82">
        <v>193.25</v>
      </c>
      <c r="N453" s="82">
        <v>193.25</v>
      </c>
      <c r="O453" s="82">
        <v>193.25</v>
      </c>
      <c r="P453" s="82">
        <v>193.25</v>
      </c>
      <c r="Q453" s="82">
        <v>193.25</v>
      </c>
      <c r="R453" s="82">
        <v>193.25</v>
      </c>
      <c r="S453" s="23">
        <v>193.25</v>
      </c>
      <c r="T453" s="23">
        <v>193.25</v>
      </c>
      <c r="U453" s="23">
        <v>193.25</v>
      </c>
      <c r="V453" s="7" t="s">
        <v>814</v>
      </c>
      <c r="W453" s="82">
        <f t="shared" si="94"/>
        <v>0</v>
      </c>
      <c r="X453" s="7"/>
      <c r="Y453" s="4"/>
      <c r="Z453" s="4"/>
      <c r="AA453" s="82"/>
      <c r="AB453" s="82"/>
      <c r="AC453" s="82"/>
      <c r="AE453" s="10" t="s">
        <v>477</v>
      </c>
      <c r="AH453" s="23">
        <f>SUM('2021 Detail'!J436:U436)+SUM('2021 Detail'!AA436:AC436)</f>
        <v>2455</v>
      </c>
      <c r="AJ453" s="23">
        <f t="shared" si="95"/>
        <v>-136</v>
      </c>
      <c r="AL453" t="str">
        <f t="shared" si="96"/>
        <v>Down</v>
      </c>
      <c r="AQ453" s="23">
        <v>204.58</v>
      </c>
      <c r="AV453" s="11"/>
    </row>
    <row r="454" spans="1:48" s="6" customFormat="1" x14ac:dyDescent="0.2">
      <c r="A454" s="226" t="s">
        <v>334</v>
      </c>
      <c r="B454" s="9" t="s">
        <v>495</v>
      </c>
      <c r="C454" s="9" t="s">
        <v>495</v>
      </c>
      <c r="D454" s="9">
        <v>0</v>
      </c>
      <c r="E454" s="9"/>
      <c r="F454" s="9">
        <v>0</v>
      </c>
      <c r="G454" s="83">
        <v>2355</v>
      </c>
      <c r="H454" s="83">
        <f t="shared" si="92"/>
        <v>2355.0500000000002</v>
      </c>
      <c r="I454" s="133">
        <f t="shared" si="93"/>
        <v>1</v>
      </c>
      <c r="J454" s="82">
        <v>0</v>
      </c>
      <c r="K454" s="82"/>
      <c r="L454" s="82"/>
      <c r="M454" s="82"/>
      <c r="N454" s="82"/>
      <c r="O454" s="82">
        <v>1155.05</v>
      </c>
      <c r="P454" s="82">
        <v>200</v>
      </c>
      <c r="Q454" s="82">
        <v>200</v>
      </c>
      <c r="R454" s="82">
        <v>200</v>
      </c>
      <c r="S454" s="23"/>
      <c r="T454" s="23">
        <v>400</v>
      </c>
      <c r="U454" s="23">
        <v>200</v>
      </c>
      <c r="V454" s="7" t="s">
        <v>815</v>
      </c>
      <c r="W454" s="82">
        <f t="shared" si="94"/>
        <v>-0.05</v>
      </c>
      <c r="X454" s="7"/>
      <c r="Y454" s="4"/>
      <c r="Z454" s="4"/>
      <c r="AA454" s="82"/>
      <c r="AB454" s="82"/>
      <c r="AC454" s="82"/>
      <c r="AE454" s="10" t="s">
        <v>477</v>
      </c>
      <c r="AH454" s="23">
        <f>SUM('2021 Detail'!J437:U437)+SUM('2021 Detail'!AA437:AC437)</f>
        <v>2320.41</v>
      </c>
      <c r="AJ454" s="23">
        <f t="shared" si="95"/>
        <v>34.640000000000327</v>
      </c>
      <c r="AL454" t="str">
        <f t="shared" si="96"/>
        <v>Up</v>
      </c>
      <c r="AQ454" s="23">
        <v>193</v>
      </c>
      <c r="AV454" s="11"/>
    </row>
    <row r="455" spans="1:48" s="6" customFormat="1" x14ac:dyDescent="0.2">
      <c r="A455" s="226" t="s">
        <v>375</v>
      </c>
      <c r="B455" s="9" t="s">
        <v>495</v>
      </c>
      <c r="C455" s="9" t="s">
        <v>495</v>
      </c>
      <c r="D455" s="9" t="s">
        <v>495</v>
      </c>
      <c r="E455" s="9"/>
      <c r="F455" s="9" t="s">
        <v>495</v>
      </c>
      <c r="G455" s="83">
        <v>18865</v>
      </c>
      <c r="H455" s="83">
        <f t="shared" si="92"/>
        <v>18865</v>
      </c>
      <c r="I455" s="133">
        <f t="shared" si="93"/>
        <v>1</v>
      </c>
      <c r="J455" s="82">
        <v>1572.12</v>
      </c>
      <c r="K455" s="82">
        <v>1572.08</v>
      </c>
      <c r="L455" s="82">
        <v>1572.08</v>
      </c>
      <c r="M455" s="82">
        <v>1572.08</v>
      </c>
      <c r="N455" s="82">
        <v>1572.08</v>
      </c>
      <c r="O455" s="82">
        <v>1572.08</v>
      </c>
      <c r="P455" s="82">
        <v>1572.08</v>
      </c>
      <c r="Q455" s="82">
        <v>1572.08</v>
      </c>
      <c r="R455" s="82">
        <v>1572.08</v>
      </c>
      <c r="S455" s="23">
        <v>1572.08</v>
      </c>
      <c r="T455" s="23">
        <v>1572.08</v>
      </c>
      <c r="U455" s="23">
        <v>1572.08</v>
      </c>
      <c r="V455" s="7" t="s">
        <v>816</v>
      </c>
      <c r="W455" s="82">
        <f t="shared" si="94"/>
        <v>0</v>
      </c>
      <c r="X455" s="7"/>
      <c r="Y455" s="4"/>
      <c r="Z455" s="4"/>
      <c r="AA455" s="82"/>
      <c r="AB455" s="82"/>
      <c r="AC455" s="82"/>
      <c r="AE455" s="10" t="s">
        <v>478</v>
      </c>
      <c r="AH455" s="23">
        <f>SUM('2021 Detail'!J438:U438)+SUM('2021 Detail'!AA438:AC438)</f>
        <v>18865</v>
      </c>
      <c r="AJ455" s="23">
        <f t="shared" si="95"/>
        <v>0</v>
      </c>
      <c r="AL455" t="str">
        <f t="shared" si="96"/>
        <v>Same</v>
      </c>
      <c r="AQ455" s="23">
        <v>1572.08</v>
      </c>
      <c r="AV455" s="11"/>
    </row>
    <row r="456" spans="1:48" s="6" customFormat="1" x14ac:dyDescent="0.2">
      <c r="A456" s="226" t="s">
        <v>335</v>
      </c>
      <c r="B456" s="9" t="s">
        <v>495</v>
      </c>
      <c r="C456" s="9" t="s">
        <v>495</v>
      </c>
      <c r="D456" s="9" t="s">
        <v>495</v>
      </c>
      <c r="E456" s="9"/>
      <c r="F456" s="9">
        <v>0</v>
      </c>
      <c r="G456" s="83">
        <v>7074</v>
      </c>
      <c r="H456" s="83">
        <f t="shared" si="92"/>
        <v>4000</v>
      </c>
      <c r="I456" s="133">
        <f t="shared" si="93"/>
        <v>0.5655</v>
      </c>
      <c r="J456" s="82">
        <v>0</v>
      </c>
      <c r="K456" s="82"/>
      <c r="L456" s="82"/>
      <c r="M456" s="82"/>
      <c r="N456" s="82"/>
      <c r="O456" s="82">
        <v>3000</v>
      </c>
      <c r="P456" s="82"/>
      <c r="Q456" s="82"/>
      <c r="R456" s="82"/>
      <c r="S456" s="23">
        <v>1000</v>
      </c>
      <c r="T456" s="23"/>
      <c r="U456" s="23"/>
      <c r="V456" s="7" t="s">
        <v>817</v>
      </c>
      <c r="W456" s="82">
        <f t="shared" si="94"/>
        <v>3074</v>
      </c>
      <c r="X456" s="7"/>
      <c r="Y456" s="4"/>
      <c r="Z456" s="4"/>
      <c r="AA456" s="82"/>
      <c r="AB456" s="82"/>
      <c r="AC456" s="82"/>
      <c r="AE456" s="10" t="s">
        <v>478</v>
      </c>
      <c r="AH456" s="23">
        <f>SUM('2021 Detail'!J439:U439)+SUM('2021 Detail'!AA439:AC439)</f>
        <v>3000</v>
      </c>
      <c r="AJ456" s="23">
        <f t="shared" si="95"/>
        <v>1000</v>
      </c>
      <c r="AL456" t="str">
        <f t="shared" si="96"/>
        <v>Up</v>
      </c>
      <c r="AQ456" s="23">
        <v>1000</v>
      </c>
      <c r="AV456" s="11"/>
    </row>
    <row r="457" spans="1:48" s="6" customFormat="1" x14ac:dyDescent="0.2">
      <c r="A457" s="226" t="s">
        <v>336</v>
      </c>
      <c r="B457" s="9">
        <v>0</v>
      </c>
      <c r="C457" s="9" t="s">
        <v>495</v>
      </c>
      <c r="D457" s="9" t="s">
        <v>495</v>
      </c>
      <c r="E457" s="9"/>
      <c r="F457" s="9">
        <v>0</v>
      </c>
      <c r="G457" s="83">
        <v>3537</v>
      </c>
      <c r="H457" s="83">
        <f t="shared" si="92"/>
        <v>3537</v>
      </c>
      <c r="I457" s="133">
        <f t="shared" si="93"/>
        <v>1</v>
      </c>
      <c r="J457" s="82">
        <v>63</v>
      </c>
      <c r="K457" s="82"/>
      <c r="L457" s="82"/>
      <c r="M457" s="82"/>
      <c r="N457" s="82">
        <v>3474</v>
      </c>
      <c r="O457" s="82"/>
      <c r="P457" s="82"/>
      <c r="Q457" s="82"/>
      <c r="R457" s="82"/>
      <c r="S457" s="23"/>
      <c r="T457" s="23"/>
      <c r="U457" s="23"/>
      <c r="V457" s="7" t="s">
        <v>818</v>
      </c>
      <c r="W457" s="82">
        <f t="shared" si="94"/>
        <v>0</v>
      </c>
      <c r="X457" s="7"/>
      <c r="Y457" s="4"/>
      <c r="Z457" s="4"/>
      <c r="AA457" s="82"/>
      <c r="AB457" s="82"/>
      <c r="AC457" s="82"/>
      <c r="AE457" s="10" t="s">
        <v>478</v>
      </c>
      <c r="AH457" s="23">
        <f>SUM('2021 Detail'!J440:U440)+SUM('2021 Detail'!AA440:AC440)</f>
        <v>3537</v>
      </c>
      <c r="AJ457" s="23">
        <f t="shared" si="95"/>
        <v>0</v>
      </c>
      <c r="AL457" t="str">
        <f t="shared" si="96"/>
        <v>Same</v>
      </c>
      <c r="AQ457" s="23"/>
      <c r="AR457" s="6" t="s">
        <v>1111</v>
      </c>
      <c r="AV457" s="11"/>
    </row>
    <row r="458" spans="1:48" s="6" customFormat="1" x14ac:dyDescent="0.2">
      <c r="A458" s="226" t="s">
        <v>337</v>
      </c>
      <c r="B458" s="9">
        <v>0</v>
      </c>
      <c r="C458" s="9" t="s">
        <v>495</v>
      </c>
      <c r="D458" s="9" t="s">
        <v>495</v>
      </c>
      <c r="E458" s="9"/>
      <c r="F458" s="9">
        <v>0</v>
      </c>
      <c r="G458" s="83">
        <v>27666</v>
      </c>
      <c r="H458" s="83">
        <f t="shared" si="92"/>
        <v>27666</v>
      </c>
      <c r="I458" s="133">
        <f t="shared" si="93"/>
        <v>1</v>
      </c>
      <c r="J458" s="82">
        <v>2766</v>
      </c>
      <c r="K458" s="82">
        <v>2766</v>
      </c>
      <c r="L458" s="82">
        <v>2766</v>
      </c>
      <c r="M458" s="82">
        <v>2766</v>
      </c>
      <c r="N458" s="82">
        <v>2766</v>
      </c>
      <c r="O458" s="82">
        <v>2766</v>
      </c>
      <c r="P458" s="82">
        <v>2766</v>
      </c>
      <c r="Q458" s="82">
        <v>2766</v>
      </c>
      <c r="R458" s="82">
        <v>2766</v>
      </c>
      <c r="S458" s="23">
        <v>2766</v>
      </c>
      <c r="T458" s="23"/>
      <c r="U458" s="23">
        <v>6</v>
      </c>
      <c r="V458" s="7" t="s">
        <v>819</v>
      </c>
      <c r="W458" s="82">
        <f t="shared" si="94"/>
        <v>0</v>
      </c>
      <c r="X458" s="7"/>
      <c r="Y458" s="4"/>
      <c r="Z458" s="4"/>
      <c r="AA458" s="82"/>
      <c r="AB458" s="82"/>
      <c r="AC458" s="82"/>
      <c r="AE458" s="10" t="s">
        <v>479</v>
      </c>
      <c r="AH458" s="23">
        <f>SUM('2021 Detail'!J441:U441)+SUM('2021 Detail'!AA441:AC441)</f>
        <v>27665</v>
      </c>
      <c r="AJ458" s="23">
        <f t="shared" si="95"/>
        <v>1</v>
      </c>
      <c r="AL458" t="str">
        <f t="shared" si="96"/>
        <v>Up</v>
      </c>
      <c r="AQ458" s="23"/>
      <c r="AV458" s="11"/>
    </row>
    <row r="459" spans="1:48" s="6" customFormat="1" x14ac:dyDescent="0.2">
      <c r="A459" s="226" t="s">
        <v>338</v>
      </c>
      <c r="B459" s="9">
        <v>0</v>
      </c>
      <c r="C459" s="9">
        <v>0</v>
      </c>
      <c r="D459" s="9" t="s">
        <v>495</v>
      </c>
      <c r="E459" s="9"/>
      <c r="F459" s="9">
        <v>0</v>
      </c>
      <c r="G459" s="83">
        <v>10300</v>
      </c>
      <c r="H459" s="83">
        <f t="shared" si="92"/>
        <v>10300</v>
      </c>
      <c r="I459" s="133">
        <f t="shared" si="93"/>
        <v>1</v>
      </c>
      <c r="J459" s="82">
        <v>0</v>
      </c>
      <c r="K459" s="82"/>
      <c r="L459" s="82"/>
      <c r="M459" s="82"/>
      <c r="N459" s="82"/>
      <c r="O459" s="82"/>
      <c r="P459" s="82"/>
      <c r="Q459" s="82"/>
      <c r="R459" s="82"/>
      <c r="S459" s="23">
        <v>10300</v>
      </c>
      <c r="T459" s="23"/>
      <c r="U459" s="23"/>
      <c r="V459" s="7" t="s">
        <v>820</v>
      </c>
      <c r="W459" s="82">
        <f t="shared" si="94"/>
        <v>0</v>
      </c>
      <c r="X459" s="7"/>
      <c r="Y459" s="4"/>
      <c r="Z459" s="4"/>
      <c r="AA459" s="82"/>
      <c r="AB459" s="82"/>
      <c r="AC459" s="82"/>
      <c r="AE459" s="10" t="s">
        <v>480</v>
      </c>
      <c r="AH459" s="23">
        <f>SUM('2021 Detail'!J442:U442)+SUM('2021 Detail'!AA442:AC442)</f>
        <v>12000</v>
      </c>
      <c r="AJ459" s="23">
        <f t="shared" si="95"/>
        <v>-1700</v>
      </c>
      <c r="AL459" t="str">
        <f t="shared" si="96"/>
        <v>Down</v>
      </c>
      <c r="AQ459" s="23"/>
      <c r="AV459" s="11"/>
    </row>
    <row r="460" spans="1:48" s="6" customFormat="1" x14ac:dyDescent="0.2">
      <c r="A460" s="226" t="s">
        <v>339</v>
      </c>
      <c r="B460" s="9" t="s">
        <v>495</v>
      </c>
      <c r="C460" s="9" t="s">
        <v>495</v>
      </c>
      <c r="D460" s="9" t="s">
        <v>495</v>
      </c>
      <c r="E460" s="9"/>
      <c r="F460" s="9">
        <v>0</v>
      </c>
      <c r="G460" s="83">
        <v>6795</v>
      </c>
      <c r="H460" s="83">
        <f t="shared" si="92"/>
        <v>6850</v>
      </c>
      <c r="I460" s="133">
        <f t="shared" si="93"/>
        <v>1.0081</v>
      </c>
      <c r="J460" s="82">
        <v>1000</v>
      </c>
      <c r="K460" s="82"/>
      <c r="L460" s="82"/>
      <c r="M460" s="82"/>
      <c r="N460" s="82">
        <v>2850</v>
      </c>
      <c r="O460" s="82"/>
      <c r="P460" s="82">
        <v>1500</v>
      </c>
      <c r="Q460" s="82"/>
      <c r="R460" s="82">
        <v>1500</v>
      </c>
      <c r="S460" s="23"/>
      <c r="T460" s="23"/>
      <c r="U460" s="23"/>
      <c r="V460" s="7" t="s">
        <v>821</v>
      </c>
      <c r="W460" s="82">
        <f t="shared" si="94"/>
        <v>-55</v>
      </c>
      <c r="X460" s="7"/>
      <c r="Y460" s="4"/>
      <c r="Z460" s="4"/>
      <c r="AA460" s="82"/>
      <c r="AB460" s="82"/>
      <c r="AC460" s="82"/>
      <c r="AE460" s="10" t="s">
        <v>480</v>
      </c>
      <c r="AH460" s="23">
        <f>SUM('2021 Detail'!J443:U443)+SUM('2021 Detail'!AA443:AC443)</f>
        <v>6850</v>
      </c>
      <c r="AJ460" s="23">
        <f t="shared" si="95"/>
        <v>0</v>
      </c>
      <c r="AL460" t="str">
        <f t="shared" si="96"/>
        <v>Same</v>
      </c>
      <c r="AQ460" s="23"/>
      <c r="AV460" s="11"/>
    </row>
    <row r="461" spans="1:48" s="6" customFormat="1" x14ac:dyDescent="0.2">
      <c r="A461" s="226" t="s">
        <v>340</v>
      </c>
      <c r="B461" s="9">
        <v>0</v>
      </c>
      <c r="C461" s="9" t="s">
        <v>495</v>
      </c>
      <c r="D461" s="9" t="s">
        <v>495</v>
      </c>
      <c r="E461" s="9"/>
      <c r="F461" s="9">
        <v>0</v>
      </c>
      <c r="G461" s="83">
        <v>4817</v>
      </c>
      <c r="H461" s="83">
        <f t="shared" si="92"/>
        <v>4817</v>
      </c>
      <c r="I461" s="133">
        <f t="shared" si="93"/>
        <v>1</v>
      </c>
      <c r="J461" s="82">
        <v>0</v>
      </c>
      <c r="K461" s="82"/>
      <c r="L461" s="82"/>
      <c r="M461" s="82"/>
      <c r="N461" s="82">
        <v>2409</v>
      </c>
      <c r="O461" s="82"/>
      <c r="P461" s="82"/>
      <c r="Q461" s="82"/>
      <c r="R461" s="82">
        <v>2408</v>
      </c>
      <c r="S461" s="23"/>
      <c r="T461" s="23"/>
      <c r="U461" s="23"/>
      <c r="V461" s="7" t="s">
        <v>822</v>
      </c>
      <c r="W461" s="82">
        <f t="shared" si="94"/>
        <v>0</v>
      </c>
      <c r="X461" s="7"/>
      <c r="Y461" s="4"/>
      <c r="Z461" s="4"/>
      <c r="AA461" s="82"/>
      <c r="AB461" s="82"/>
      <c r="AC461" s="82"/>
      <c r="AE461" s="10" t="s">
        <v>479</v>
      </c>
      <c r="AH461" s="23">
        <f>SUM('2021 Detail'!J444:U444)+SUM('2021 Detail'!AA444:AC444)</f>
        <v>4819</v>
      </c>
      <c r="AJ461" s="23">
        <f t="shared" si="95"/>
        <v>-2</v>
      </c>
      <c r="AL461" t="str">
        <f t="shared" si="96"/>
        <v>Down</v>
      </c>
      <c r="AQ461" s="23"/>
      <c r="AV461" s="11"/>
    </row>
    <row r="462" spans="1:48" s="6" customFormat="1" x14ac:dyDescent="0.2">
      <c r="A462" s="226" t="s">
        <v>341</v>
      </c>
      <c r="B462" s="9" t="s">
        <v>495</v>
      </c>
      <c r="C462" s="9">
        <v>0</v>
      </c>
      <c r="D462" s="9">
        <v>0</v>
      </c>
      <c r="E462" s="9"/>
      <c r="F462" s="9">
        <v>0</v>
      </c>
      <c r="G462" s="83">
        <v>10300</v>
      </c>
      <c r="H462" s="83">
        <f t="shared" si="92"/>
        <v>10300</v>
      </c>
      <c r="I462" s="133">
        <f t="shared" si="93"/>
        <v>1</v>
      </c>
      <c r="J462" s="82">
        <v>0</v>
      </c>
      <c r="K462" s="82"/>
      <c r="L462" s="82">
        <v>3000</v>
      </c>
      <c r="M462" s="82"/>
      <c r="N462" s="82"/>
      <c r="O462" s="82"/>
      <c r="P462" s="82">
        <v>3000</v>
      </c>
      <c r="Q462" s="82"/>
      <c r="R462" s="82"/>
      <c r="S462" s="23">
        <v>2000</v>
      </c>
      <c r="T462" s="23">
        <v>2300</v>
      </c>
      <c r="U462" s="23"/>
      <c r="V462" s="7" t="s">
        <v>823</v>
      </c>
      <c r="W462" s="82">
        <f t="shared" si="94"/>
        <v>0</v>
      </c>
      <c r="X462" s="7"/>
      <c r="Y462" s="4"/>
      <c r="Z462" s="4"/>
      <c r="AA462" s="82"/>
      <c r="AB462" s="82"/>
      <c r="AC462" s="82"/>
      <c r="AE462" s="10" t="s">
        <v>480</v>
      </c>
      <c r="AH462" s="23">
        <f>SUM('2021 Detail'!J445:U445)+SUM('2021 Detail'!AA445:AC445)</f>
        <v>10300</v>
      </c>
      <c r="AJ462" s="23">
        <f t="shared" si="95"/>
        <v>0</v>
      </c>
      <c r="AL462" t="str">
        <f t="shared" si="96"/>
        <v>Same</v>
      </c>
      <c r="AQ462" s="23"/>
      <c r="AV462" s="11"/>
    </row>
    <row r="463" spans="1:48" x14ac:dyDescent="0.2">
      <c r="A463" s="226" t="s">
        <v>342</v>
      </c>
      <c r="B463" s="9" t="s">
        <v>495</v>
      </c>
      <c r="C463" s="9" t="s">
        <v>495</v>
      </c>
      <c r="D463" s="9" t="s">
        <v>495</v>
      </c>
      <c r="E463" s="9"/>
      <c r="F463" s="9" t="s">
        <v>495</v>
      </c>
      <c r="G463" s="83">
        <v>5976</v>
      </c>
      <c r="H463" s="83">
        <f t="shared" si="92"/>
        <v>5976</v>
      </c>
      <c r="I463" s="133">
        <f t="shared" si="93"/>
        <v>1</v>
      </c>
      <c r="J463" s="82">
        <v>498</v>
      </c>
      <c r="K463" s="82">
        <v>498</v>
      </c>
      <c r="L463" s="82">
        <v>498</v>
      </c>
      <c r="M463" s="82">
        <v>498</v>
      </c>
      <c r="N463" s="82">
        <v>498</v>
      </c>
      <c r="O463" s="82">
        <v>498</v>
      </c>
      <c r="P463" s="82">
        <v>498</v>
      </c>
      <c r="Q463" s="82">
        <v>498</v>
      </c>
      <c r="R463" s="82">
        <v>498</v>
      </c>
      <c r="S463" s="23">
        <v>498</v>
      </c>
      <c r="T463" s="23">
        <v>498</v>
      </c>
      <c r="U463" s="23">
        <v>498</v>
      </c>
      <c r="V463" s="7" t="s">
        <v>824</v>
      </c>
      <c r="W463" s="82">
        <f t="shared" si="94"/>
        <v>0</v>
      </c>
      <c r="Y463" s="4"/>
      <c r="Z463" s="4"/>
      <c r="AA463" s="82"/>
      <c r="AB463" s="82"/>
      <c r="AC463" s="82"/>
      <c r="AE463" s="7" t="s">
        <v>477</v>
      </c>
      <c r="AH463" s="23">
        <f>SUM('2021 Detail'!J446:U446)+SUM('2021 Detail'!AA446:AC446)</f>
        <v>6007</v>
      </c>
      <c r="AJ463" s="23">
        <f t="shared" si="95"/>
        <v>-31</v>
      </c>
      <c r="AL463" t="str">
        <f t="shared" si="96"/>
        <v>Down</v>
      </c>
      <c r="AQ463" s="23">
        <v>500.58</v>
      </c>
      <c r="AV463" s="11"/>
    </row>
    <row r="464" spans="1:48" x14ac:dyDescent="0.2">
      <c r="A464" s="226" t="s">
        <v>343</v>
      </c>
      <c r="B464" s="9" t="s">
        <v>495</v>
      </c>
      <c r="C464" s="9" t="s">
        <v>495</v>
      </c>
      <c r="D464" s="9">
        <v>0</v>
      </c>
      <c r="E464" s="9"/>
      <c r="F464" s="9" t="s">
        <v>495</v>
      </c>
      <c r="G464" s="83">
        <v>8894</v>
      </c>
      <c r="H464" s="83">
        <f t="shared" si="92"/>
        <v>8894</v>
      </c>
      <c r="I464" s="133">
        <f t="shared" si="93"/>
        <v>1</v>
      </c>
      <c r="J464" s="82">
        <v>741.24</v>
      </c>
      <c r="K464" s="82">
        <v>741.16</v>
      </c>
      <c r="L464" s="82">
        <v>741.16</v>
      </c>
      <c r="M464" s="82">
        <v>741.16</v>
      </c>
      <c r="N464" s="82">
        <v>741.16</v>
      </c>
      <c r="O464" s="82">
        <v>741.16</v>
      </c>
      <c r="P464" s="82">
        <v>741.16</v>
      </c>
      <c r="Q464" s="82">
        <v>741.16</v>
      </c>
      <c r="R464" s="82">
        <v>741.16</v>
      </c>
      <c r="S464" s="23">
        <v>741.16</v>
      </c>
      <c r="T464" s="23">
        <v>741.16</v>
      </c>
      <c r="U464" s="23">
        <v>741.16</v>
      </c>
      <c r="V464" s="7" t="s">
        <v>825</v>
      </c>
      <c r="W464" s="82">
        <f t="shared" si="94"/>
        <v>0</v>
      </c>
      <c r="Y464" s="4"/>
      <c r="Z464" s="4"/>
      <c r="AA464" s="82"/>
      <c r="AB464" s="82"/>
      <c r="AC464" s="82"/>
      <c r="AE464" s="7" t="s">
        <v>474</v>
      </c>
      <c r="AH464" s="23">
        <f>SUM('2021 Detail'!J447:U447)+SUM('2021 Detail'!AA447:AC447)</f>
        <v>9793</v>
      </c>
      <c r="AJ464" s="23">
        <f t="shared" si="95"/>
        <v>-899</v>
      </c>
      <c r="AL464" t="str">
        <f t="shared" si="96"/>
        <v>Down</v>
      </c>
      <c r="AQ464" s="23">
        <v>820.63</v>
      </c>
      <c r="AV464" s="11"/>
    </row>
    <row r="465" spans="1:48" x14ac:dyDescent="0.2">
      <c r="B465" s="9"/>
      <c r="C465" s="9"/>
      <c r="E465" s="9"/>
      <c r="F465" s="9"/>
      <c r="G465" s="205"/>
      <c r="H465" s="197"/>
      <c r="I465" s="133"/>
      <c r="Y465" s="4"/>
      <c r="Z465" s="4"/>
      <c r="AJ465" s="23">
        <f t="shared" si="95"/>
        <v>0</v>
      </c>
    </row>
    <row r="466" spans="1:48" x14ac:dyDescent="0.2">
      <c r="I466" s="133"/>
      <c r="Y466" s="4"/>
      <c r="Z466" s="4"/>
      <c r="AJ466" s="23"/>
    </row>
    <row r="467" spans="1:48" x14ac:dyDescent="0.2">
      <c r="A467" s="226" t="s">
        <v>1142</v>
      </c>
      <c r="G467" s="83">
        <f t="shared" ref="G467:H467" si="97">SUM(G418:G466)</f>
        <v>617639</v>
      </c>
      <c r="H467" s="83">
        <f t="shared" si="97"/>
        <v>592229.05000000005</v>
      </c>
      <c r="I467" s="133">
        <f t="shared" ref="I467:I468" si="98">ROUND((H467/G467),4)</f>
        <v>0.95889999999999997</v>
      </c>
      <c r="J467" s="83">
        <f>SUM(J418:J466)</f>
        <v>40084.150000000009</v>
      </c>
      <c r="K467" s="83">
        <f t="shared" ref="K467:W467" si="99">SUM(K418:K466)</f>
        <v>43546.810000000012</v>
      </c>
      <c r="L467" s="83">
        <f t="shared" si="99"/>
        <v>43357.500000000015</v>
      </c>
      <c r="M467" s="83">
        <f t="shared" si="99"/>
        <v>41657.500000000015</v>
      </c>
      <c r="N467" s="83">
        <f t="shared" si="99"/>
        <v>60197.500000000015</v>
      </c>
      <c r="O467" s="83">
        <f t="shared" si="99"/>
        <v>52824.550000000017</v>
      </c>
      <c r="P467" s="83">
        <f t="shared" si="99"/>
        <v>51630.000000000015</v>
      </c>
      <c r="Q467" s="83">
        <f t="shared" si="99"/>
        <v>45425.500000000015</v>
      </c>
      <c r="R467" s="83">
        <f t="shared" si="99"/>
        <v>44165.500000000015</v>
      </c>
      <c r="S467" s="4">
        <f t="shared" si="99"/>
        <v>62713.250000000015</v>
      </c>
      <c r="T467" s="4">
        <f t="shared" si="99"/>
        <v>59422.250000000015</v>
      </c>
      <c r="U467" s="4">
        <f t="shared" si="99"/>
        <v>45533.540000000015</v>
      </c>
      <c r="V467" s="77"/>
      <c r="W467" s="82">
        <f t="shared" si="99"/>
        <v>25409.95</v>
      </c>
      <c r="Y467" s="4"/>
      <c r="Z467" s="4"/>
      <c r="AA467" s="83">
        <f>SUM(AA418:AA466)</f>
        <v>0</v>
      </c>
      <c r="AB467" s="83">
        <f t="shared" ref="AB467:AC467" si="100">SUM(AB418:AB466)</f>
        <v>1671</v>
      </c>
      <c r="AC467" s="83">
        <f t="shared" si="100"/>
        <v>0</v>
      </c>
      <c r="AD467" s="4"/>
      <c r="AH467" s="23">
        <f>SUM(AH418:AH466)</f>
        <v>600704.42999999993</v>
      </c>
      <c r="AJ467" s="23">
        <f t="shared" si="95"/>
        <v>-8475.3799999998882</v>
      </c>
      <c r="AM467" s="11">
        <f>SUM(J467:R467)+SUM(S468:U468)+SUM('2020 detail'!AA449:AC449)</f>
        <v>595502.87000000011</v>
      </c>
      <c r="AN467" s="24">
        <f>ROUND((AM467/G467),4)</f>
        <v>0.96419999999999995</v>
      </c>
      <c r="AO467" s="24">
        <f>ROUND((SUM(J468:U468)/G468),4)</f>
        <v>0.9577</v>
      </c>
      <c r="AQ467" s="23">
        <f>SUM(AQ418:AQ466)</f>
        <v>72518.570000000022</v>
      </c>
      <c r="AR467">
        <v>63</v>
      </c>
      <c r="AV467" s="11"/>
    </row>
    <row r="468" spans="1:48" x14ac:dyDescent="0.2">
      <c r="A468" s="253" t="s">
        <v>1056</v>
      </c>
      <c r="G468" s="206">
        <f>'2021 Detail'!G450</f>
        <v>623163</v>
      </c>
      <c r="H468" s="206">
        <f>SUM(J468:U468)+SUM(AA468:AC468)</f>
        <v>600704.43000000005</v>
      </c>
      <c r="I468" s="207">
        <f t="shared" si="98"/>
        <v>0.96399999999999997</v>
      </c>
      <c r="J468" s="206">
        <f>'2021 Detail'!J450</f>
        <v>37083.000000000007</v>
      </c>
      <c r="K468" s="206">
        <f>'2021 Detail'!K450</f>
        <v>39941.920000000006</v>
      </c>
      <c r="L468" s="206">
        <f>'2021 Detail'!L450</f>
        <v>55851.210000000006</v>
      </c>
      <c r="M468" s="206">
        <f>'2021 Detail'!M450</f>
        <v>39906.410000000003</v>
      </c>
      <c r="N468" s="206">
        <f>'2021 Detail'!N450</f>
        <v>51200.820000000007</v>
      </c>
      <c r="O468" s="206">
        <f>'2021 Detail'!O450</f>
        <v>39687.340000000004</v>
      </c>
      <c r="P468" s="206">
        <f>'2021 Detail'!P450</f>
        <v>58000.350000000013</v>
      </c>
      <c r="Q468" s="206">
        <f>'2021 Detail'!Q450</f>
        <v>50445.37</v>
      </c>
      <c r="R468" s="206">
        <f>'2021 Detail'!R450</f>
        <v>52087.37</v>
      </c>
      <c r="S468" s="206">
        <f>'2021 Detail'!S450</f>
        <v>42187.37</v>
      </c>
      <c r="T468" s="206">
        <f>'2021 Detail'!T450</f>
        <v>57592.11</v>
      </c>
      <c r="U468" s="206">
        <f>'2021 Detail'!U450</f>
        <v>72834.380000000019</v>
      </c>
      <c r="V468" s="206"/>
      <c r="W468" s="206"/>
      <c r="X468" s="206"/>
      <c r="Y468" s="4"/>
      <c r="Z468" s="4"/>
      <c r="AA468" s="206">
        <f>'2021 Detail'!AA450</f>
        <v>250</v>
      </c>
      <c r="AB468" s="206">
        <f>'2021 Detail'!AB450</f>
        <v>3636.78</v>
      </c>
      <c r="AC468" s="206">
        <f>'2021 Detail'!AC450</f>
        <v>0</v>
      </c>
      <c r="AJ468" s="23"/>
    </row>
    <row r="469" spans="1:48" x14ac:dyDescent="0.2">
      <c r="Y469" s="4"/>
      <c r="Z469" s="4"/>
      <c r="AJ469" s="23"/>
    </row>
    <row r="470" spans="1:48" x14ac:dyDescent="0.2">
      <c r="A470" s="226" t="str">
        <f t="shared" ref="A470:U470" si="101">A$510</f>
        <v>Diocesan Total 2022</v>
      </c>
      <c r="B470" s="226">
        <f t="shared" si="101"/>
        <v>0</v>
      </c>
      <c r="C470" s="226">
        <f t="shared" si="101"/>
        <v>0</v>
      </c>
      <c r="D470" s="258">
        <f t="shared" si="101"/>
        <v>0</v>
      </c>
      <c r="E470" s="226">
        <f t="shared" si="101"/>
        <v>0</v>
      </c>
      <c r="F470" s="226">
        <f t="shared" si="101"/>
        <v>0</v>
      </c>
      <c r="G470" s="83">
        <f t="shared" si="101"/>
        <v>8116012</v>
      </c>
      <c r="H470" s="83">
        <f t="shared" si="101"/>
        <v>6559276.3399999999</v>
      </c>
      <c r="I470" s="133">
        <f t="shared" si="101"/>
        <v>0.80820000000000003</v>
      </c>
      <c r="J470" s="83">
        <f t="shared" si="101"/>
        <v>378351.23</v>
      </c>
      <c r="K470" s="83">
        <f t="shared" si="101"/>
        <v>449442.02</v>
      </c>
      <c r="L470" s="83">
        <f t="shared" si="101"/>
        <v>517036.34</v>
      </c>
      <c r="M470" s="83">
        <f t="shared" si="101"/>
        <v>434875.54000000004</v>
      </c>
      <c r="N470" s="83">
        <f t="shared" si="101"/>
        <v>497786.23</v>
      </c>
      <c r="O470" s="83">
        <f t="shared" si="101"/>
        <v>599586.94000000006</v>
      </c>
      <c r="P470" s="83">
        <f t="shared" si="101"/>
        <v>498701.35</v>
      </c>
      <c r="Q470" s="83">
        <f t="shared" si="101"/>
        <v>538018.41999999993</v>
      </c>
      <c r="R470" s="83">
        <f t="shared" si="101"/>
        <v>551902.79</v>
      </c>
      <c r="S470" s="4">
        <f t="shared" si="101"/>
        <v>564217.18000000005</v>
      </c>
      <c r="T470" s="4">
        <f t="shared" si="101"/>
        <v>645999.05000000005</v>
      </c>
      <c r="U470" s="4">
        <f t="shared" si="101"/>
        <v>736614.44</v>
      </c>
      <c r="V470" s="77"/>
      <c r="W470" s="82"/>
      <c r="X470" s="4"/>
      <c r="Y470" s="4"/>
      <c r="Z470" s="4"/>
      <c r="AA470" s="83"/>
      <c r="AB470" s="83"/>
      <c r="AC470" s="83"/>
      <c r="AD470" s="4"/>
      <c r="AH470" s="23">
        <f>AH$510</f>
        <v>6587993.7699999996</v>
      </c>
      <c r="AJ470" s="23">
        <f>AJ$510</f>
        <v>-28717.429999999702</v>
      </c>
    </row>
    <row r="471" spans="1:48" x14ac:dyDescent="0.2">
      <c r="A471" s="253" t="str">
        <f t="shared" ref="A471:U471" si="102">A$511</f>
        <v>Diocesan Total 2021</v>
      </c>
      <c r="B471" s="253">
        <f t="shared" si="102"/>
        <v>0</v>
      </c>
      <c r="C471" s="253">
        <f t="shared" si="102"/>
        <v>0</v>
      </c>
      <c r="D471" s="259">
        <f t="shared" si="102"/>
        <v>0</v>
      </c>
      <c r="E471" s="253">
        <f t="shared" si="102"/>
        <v>0</v>
      </c>
      <c r="F471" s="253">
        <f t="shared" si="102"/>
        <v>0</v>
      </c>
      <c r="G471" s="206">
        <f t="shared" si="102"/>
        <v>8132853</v>
      </c>
      <c r="H471" s="206">
        <f t="shared" si="102"/>
        <v>6587993.7700000005</v>
      </c>
      <c r="I471" s="207">
        <f t="shared" si="102"/>
        <v>0.81</v>
      </c>
      <c r="J471" s="206">
        <f t="shared" si="102"/>
        <v>340336.86</v>
      </c>
      <c r="K471" s="206">
        <f t="shared" si="102"/>
        <v>407387.73</v>
      </c>
      <c r="L471" s="206">
        <f t="shared" si="102"/>
        <v>497955.59</v>
      </c>
      <c r="M471" s="206">
        <f t="shared" si="102"/>
        <v>513800.89999999997</v>
      </c>
      <c r="N471" s="206">
        <f t="shared" si="102"/>
        <v>483760.16000000003</v>
      </c>
      <c r="O471" s="206">
        <f t="shared" si="102"/>
        <v>527451.71000000008</v>
      </c>
      <c r="P471" s="206">
        <f t="shared" si="102"/>
        <v>582882.6100000001</v>
      </c>
      <c r="Q471" s="206">
        <f t="shared" si="102"/>
        <v>489302.35</v>
      </c>
      <c r="R471" s="206">
        <f t="shared" si="102"/>
        <v>548459.72</v>
      </c>
      <c r="S471" s="206">
        <f t="shared" si="102"/>
        <v>527708.16999999993</v>
      </c>
      <c r="T471" s="206">
        <f t="shared" si="102"/>
        <v>616975.80999999994</v>
      </c>
      <c r="U471" s="206">
        <f t="shared" si="102"/>
        <v>907302.59</v>
      </c>
      <c r="V471" s="206"/>
      <c r="W471" s="206"/>
      <c r="X471" s="206"/>
      <c r="Y471" s="4"/>
      <c r="Z471" s="4"/>
      <c r="AA471" s="206"/>
      <c r="AB471" s="206"/>
      <c r="AC471" s="206"/>
      <c r="AJ471" s="23"/>
    </row>
    <row r="472" spans="1:48" ht="15.75" x14ac:dyDescent="0.25">
      <c r="G472" s="196" t="s">
        <v>17</v>
      </c>
      <c r="Y472" s="4"/>
      <c r="Z472" s="4"/>
      <c r="AH472" s="171" t="s">
        <v>1136</v>
      </c>
      <c r="AI472" s="172"/>
      <c r="AJ472" s="171" t="s">
        <v>1064</v>
      </c>
    </row>
    <row r="473" spans="1:48" x14ac:dyDescent="0.2">
      <c r="Y473" s="4"/>
      <c r="Z473" s="4"/>
      <c r="AH473" s="171" t="s">
        <v>1137</v>
      </c>
      <c r="AI473" s="172"/>
      <c r="AJ473" s="171" t="s">
        <v>1138</v>
      </c>
    </row>
    <row r="474" spans="1:48" ht="16.5" x14ac:dyDescent="0.25">
      <c r="A474" s="250"/>
      <c r="B474" s="8"/>
      <c r="C474" s="8"/>
      <c r="E474" s="8"/>
      <c r="F474" s="8"/>
      <c r="G474" s="208" t="str">
        <f>$G$3</f>
        <v>2022 PARISH SHARE INFORMATION AS AT 31 DECEMBER 2022</v>
      </c>
      <c r="H474" s="209"/>
      <c r="W474" s="194"/>
      <c r="X474"/>
      <c r="Y474" s="4"/>
      <c r="Z474" s="4"/>
      <c r="AA474"/>
      <c r="AB474"/>
      <c r="AC474"/>
      <c r="AH474" s="172"/>
      <c r="AI474" s="172"/>
      <c r="AJ474" s="171" t="s">
        <v>1139</v>
      </c>
    </row>
    <row r="475" spans="1:48" x14ac:dyDescent="0.2">
      <c r="A475" s="250"/>
      <c r="G475" s="205"/>
      <c r="H475" s="197"/>
      <c r="W475" s="194"/>
      <c r="X475"/>
      <c r="Y475" s="4"/>
      <c r="Z475" s="4"/>
      <c r="AA475"/>
      <c r="AB475"/>
      <c r="AC475"/>
    </row>
    <row r="476" spans="1:48" ht="16.5" x14ac:dyDescent="0.25">
      <c r="A476" s="251" t="s">
        <v>1</v>
      </c>
      <c r="B476" s="151" t="str">
        <f>$B$5</f>
        <v>RM</v>
      </c>
      <c r="C476" s="151" t="str">
        <f>$C$5</f>
        <v>RF</v>
      </c>
      <c r="D476" s="151" t="str">
        <f>$D$5</f>
        <v>Accts</v>
      </c>
      <c r="E476" s="151"/>
      <c r="F476" s="151" t="str">
        <f>$F$5</f>
        <v>Share DD</v>
      </c>
      <c r="G476" s="210" t="str">
        <f>$G$5</f>
        <v xml:space="preserve">2022 Share </v>
      </c>
      <c r="H476" s="211" t="str">
        <f>$H$5</f>
        <v xml:space="preserve">2022 Paid </v>
      </c>
      <c r="I476" s="211" t="str">
        <f>$I$5</f>
        <v xml:space="preserve">% Paid </v>
      </c>
      <c r="J476" s="212">
        <f>$J$5</f>
        <v>44592</v>
      </c>
      <c r="K476" s="212">
        <f>$K$5</f>
        <v>44620</v>
      </c>
      <c r="L476" s="212">
        <f>$L$5</f>
        <v>44651</v>
      </c>
      <c r="M476" s="212">
        <f>$M$5</f>
        <v>44681</v>
      </c>
      <c r="N476" s="212">
        <f>$N$5</f>
        <v>44712</v>
      </c>
      <c r="O476" s="212">
        <f>$O$5</f>
        <v>44742</v>
      </c>
      <c r="P476" s="212">
        <f>$P$5</f>
        <v>44773</v>
      </c>
      <c r="Q476" s="212">
        <f>$Q$5</f>
        <v>44804</v>
      </c>
      <c r="R476" s="212">
        <f>$R$5</f>
        <v>44834</v>
      </c>
      <c r="S476" s="155">
        <f>$S$5</f>
        <v>44865</v>
      </c>
      <c r="T476" s="155">
        <f>$T$5</f>
        <v>44895</v>
      </c>
      <c r="U476" s="155">
        <f>$U$5</f>
        <v>44926</v>
      </c>
      <c r="V476" s="78"/>
      <c r="W476" s="195" t="str">
        <f>$W$5</f>
        <v xml:space="preserve">Outstanding </v>
      </c>
      <c r="X476" s="2"/>
      <c r="Y476" s="4"/>
      <c r="Z476" s="4"/>
      <c r="AA476" s="2">
        <f>$AA$5</f>
        <v>44957</v>
      </c>
      <c r="AB476" s="2">
        <f>$AB$5</f>
        <v>44985</v>
      </c>
      <c r="AC476" s="2">
        <f>$AC$5</f>
        <v>45016</v>
      </c>
      <c r="AE476" s="152" t="str">
        <f>$AE$5</f>
        <v>Benefice</v>
      </c>
      <c r="AH476" s="16" t="s">
        <v>1141</v>
      </c>
      <c r="AJ476" s="170" t="s">
        <v>1140</v>
      </c>
      <c r="AQ476" s="222">
        <f>AQ5</f>
        <v>44588</v>
      </c>
    </row>
    <row r="477" spans="1:48" ht="16.5" x14ac:dyDescent="0.25">
      <c r="A477" s="250"/>
      <c r="G477" s="201" t="s">
        <v>1040</v>
      </c>
      <c r="H477" s="202" t="s">
        <v>1040</v>
      </c>
      <c r="I477" s="203"/>
      <c r="J477" s="202" t="s">
        <v>1040</v>
      </c>
      <c r="K477" s="202" t="s">
        <v>1040</v>
      </c>
      <c r="L477" s="202" t="s">
        <v>1040</v>
      </c>
      <c r="M477" s="202" t="s">
        <v>1040</v>
      </c>
      <c r="N477" s="202" t="s">
        <v>1040</v>
      </c>
      <c r="O477" s="202" t="s">
        <v>1040</v>
      </c>
      <c r="P477" s="202" t="s">
        <v>1040</v>
      </c>
      <c r="Q477" s="202" t="s">
        <v>1040</v>
      </c>
      <c r="R477" s="202" t="s">
        <v>1040</v>
      </c>
      <c r="S477" s="147" t="s">
        <v>1040</v>
      </c>
      <c r="T477" s="147" t="s">
        <v>1040</v>
      </c>
      <c r="U477" s="147" t="s">
        <v>1040</v>
      </c>
      <c r="W477" s="194"/>
      <c r="X477"/>
      <c r="Y477" s="4"/>
      <c r="Z477" s="4"/>
      <c r="AA477"/>
      <c r="AB477"/>
      <c r="AC477"/>
      <c r="AJ477" s="23"/>
    </row>
    <row r="478" spans="1:48" x14ac:dyDescent="0.2">
      <c r="Y478" s="4"/>
      <c r="Z478" s="4"/>
      <c r="AJ478" s="23"/>
    </row>
    <row r="479" spans="1:48" x14ac:dyDescent="0.2">
      <c r="A479" s="226" t="s">
        <v>344</v>
      </c>
      <c r="B479" s="9">
        <v>0</v>
      </c>
      <c r="C479" s="9" t="s">
        <v>495</v>
      </c>
      <c r="D479" s="9" t="s">
        <v>495</v>
      </c>
      <c r="E479" s="9"/>
      <c r="F479" s="9" t="s">
        <v>495</v>
      </c>
      <c r="G479" s="83">
        <v>57154</v>
      </c>
      <c r="H479" s="83">
        <f t="shared" ref="H479:H505" si="103">SUM(J479:U479)+SUM(AA479:AC479)</f>
        <v>42000</v>
      </c>
      <c r="I479" s="133">
        <f t="shared" ref="I479:I510" si="104">ROUND((H479/G479),4)</f>
        <v>0.7349</v>
      </c>
      <c r="J479" s="82">
        <v>3500</v>
      </c>
      <c r="K479" s="82">
        <v>3500</v>
      </c>
      <c r="L479" s="82">
        <v>3500</v>
      </c>
      <c r="M479" s="82">
        <v>3500</v>
      </c>
      <c r="N479" s="82">
        <v>3500</v>
      </c>
      <c r="O479" s="82">
        <v>3500</v>
      </c>
      <c r="P479" s="82">
        <v>3500</v>
      </c>
      <c r="Q479" s="82">
        <v>3500</v>
      </c>
      <c r="R479" s="82">
        <v>3500</v>
      </c>
      <c r="S479" s="23">
        <v>3500</v>
      </c>
      <c r="T479" s="23">
        <v>3500</v>
      </c>
      <c r="U479" s="23">
        <v>3500</v>
      </c>
      <c r="V479" s="79" t="s">
        <v>826</v>
      </c>
      <c r="W479" s="82">
        <f t="shared" ref="W479:W505" si="105">G479-H479</f>
        <v>15154</v>
      </c>
      <c r="Y479" s="4"/>
      <c r="Z479" s="4"/>
      <c r="AA479" s="82"/>
      <c r="AB479" s="82"/>
      <c r="AC479" s="82"/>
      <c r="AD479" s="23"/>
      <c r="AE479" s="7" t="s">
        <v>483</v>
      </c>
      <c r="AH479" s="23">
        <f>SUM('2021 Detail'!J460:U460)+SUM('2021 Detail'!AA460:AC460)</f>
        <v>57153</v>
      </c>
      <c r="AJ479" s="23">
        <f t="shared" ref="AJ479:AJ510" si="106">H479-AH479</f>
        <v>-15153</v>
      </c>
      <c r="AL479" t="str">
        <f t="shared" ref="AL479:AL505" si="107">IF(AJ479&lt;0,"Down",IF(AJ479&gt;0,"Up","Same"))</f>
        <v>Down</v>
      </c>
      <c r="AQ479" s="23">
        <v>3500</v>
      </c>
    </row>
    <row r="480" spans="1:48" x14ac:dyDescent="0.2">
      <c r="A480" s="226" t="s">
        <v>345</v>
      </c>
      <c r="B480" s="9">
        <v>0</v>
      </c>
      <c r="C480" s="9">
        <v>0</v>
      </c>
      <c r="D480" s="9">
        <v>0</v>
      </c>
      <c r="E480" s="9"/>
      <c r="F480" s="9">
        <v>0</v>
      </c>
      <c r="G480" s="83">
        <v>6350</v>
      </c>
      <c r="H480" s="83">
        <f t="shared" si="103"/>
        <v>4000</v>
      </c>
      <c r="I480" s="133">
        <f t="shared" si="104"/>
        <v>0.62990000000000002</v>
      </c>
      <c r="J480" s="82"/>
      <c r="K480" s="82"/>
      <c r="L480" s="82"/>
      <c r="M480" s="82"/>
      <c r="N480" s="82"/>
      <c r="O480" s="82">
        <v>3000</v>
      </c>
      <c r="P480" s="82"/>
      <c r="Q480" s="82"/>
      <c r="R480" s="82"/>
      <c r="S480" s="23"/>
      <c r="T480" s="23">
        <v>1000</v>
      </c>
      <c r="U480" s="23"/>
      <c r="V480" s="79" t="s">
        <v>827</v>
      </c>
      <c r="W480" s="82">
        <f t="shared" si="105"/>
        <v>2350</v>
      </c>
      <c r="Y480" s="4"/>
      <c r="Z480" s="4"/>
      <c r="AA480" s="82"/>
      <c r="AB480" s="82"/>
      <c r="AC480" s="82"/>
      <c r="AD480" s="23"/>
      <c r="AE480" s="7" t="s">
        <v>483</v>
      </c>
      <c r="AH480" s="23">
        <f>SUM('2021 Detail'!J461:U461)+SUM('2021 Detail'!AA461:AC461)</f>
        <v>4349.5</v>
      </c>
      <c r="AJ480" s="23">
        <f t="shared" si="106"/>
        <v>-349.5</v>
      </c>
      <c r="AL480" t="str">
        <f t="shared" si="107"/>
        <v>Down</v>
      </c>
      <c r="AQ480" s="23">
        <v>2762</v>
      </c>
    </row>
    <row r="481" spans="1:43" x14ac:dyDescent="0.2">
      <c r="A481" s="226" t="s">
        <v>346</v>
      </c>
      <c r="B481" s="9" t="s">
        <v>495</v>
      </c>
      <c r="C481" s="9">
        <v>0</v>
      </c>
      <c r="D481" s="9">
        <v>0</v>
      </c>
      <c r="E481" s="9"/>
      <c r="F481" s="9" t="s">
        <v>495</v>
      </c>
      <c r="G481" s="83">
        <v>5911.65</v>
      </c>
      <c r="H481" s="83">
        <f t="shared" si="103"/>
        <v>4730.92</v>
      </c>
      <c r="I481" s="133">
        <f t="shared" si="104"/>
        <v>0.80030000000000001</v>
      </c>
      <c r="J481" s="82">
        <v>347.12</v>
      </c>
      <c r="K481" s="82">
        <v>347.08</v>
      </c>
      <c r="L481" s="82">
        <v>347.08</v>
      </c>
      <c r="M481" s="82">
        <v>541.08000000000004</v>
      </c>
      <c r="N481" s="82">
        <v>541.08000000000004</v>
      </c>
      <c r="O481" s="82">
        <v>0</v>
      </c>
      <c r="P481" s="82">
        <v>347.08</v>
      </c>
      <c r="Q481" s="82">
        <v>347.08</v>
      </c>
      <c r="R481" s="82">
        <v>347.08</v>
      </c>
      <c r="S481" s="23">
        <v>347.08</v>
      </c>
      <c r="T481" s="23">
        <v>347.08</v>
      </c>
      <c r="U481" s="23">
        <v>872.08</v>
      </c>
      <c r="V481" s="79" t="s">
        <v>828</v>
      </c>
      <c r="W481" s="82">
        <f t="shared" si="105"/>
        <v>1180.7299999999996</v>
      </c>
      <c r="Y481" s="4"/>
      <c r="Z481" s="4"/>
      <c r="AA481" s="82"/>
      <c r="AB481" s="82"/>
      <c r="AC481" s="82"/>
      <c r="AD481" s="23"/>
      <c r="AE481" s="7" t="s">
        <v>481</v>
      </c>
      <c r="AH481" s="23">
        <f>SUM('2021 Detail'!J462:U462)+SUM('2021 Detail'!AA462:AC462)</f>
        <v>4165</v>
      </c>
      <c r="AJ481" s="23">
        <f t="shared" si="106"/>
        <v>565.92000000000007</v>
      </c>
      <c r="AL481" t="str">
        <f t="shared" si="107"/>
        <v>Up</v>
      </c>
      <c r="AQ481" s="23">
        <v>347.08</v>
      </c>
    </row>
    <row r="482" spans="1:43" x14ac:dyDescent="0.2">
      <c r="A482" s="226" t="s">
        <v>347</v>
      </c>
      <c r="B482" s="9" t="s">
        <v>495</v>
      </c>
      <c r="C482" s="9" t="s">
        <v>495</v>
      </c>
      <c r="D482" s="9">
        <v>0</v>
      </c>
      <c r="E482" s="9"/>
      <c r="F482" s="9">
        <v>0</v>
      </c>
      <c r="G482" s="83">
        <v>25582</v>
      </c>
      <c r="H482" s="83">
        <f t="shared" si="103"/>
        <v>25582</v>
      </c>
      <c r="I482" s="133">
        <f t="shared" si="104"/>
        <v>1</v>
      </c>
      <c r="J482" s="82"/>
      <c r="K482" s="82"/>
      <c r="L482" s="82">
        <v>2000</v>
      </c>
      <c r="M482" s="82"/>
      <c r="N482" s="82"/>
      <c r="O482" s="82">
        <v>8000</v>
      </c>
      <c r="P482" s="82">
        <v>3000</v>
      </c>
      <c r="Q482" s="82">
        <v>3000</v>
      </c>
      <c r="R482" s="82">
        <v>2000</v>
      </c>
      <c r="S482" s="23">
        <v>3000</v>
      </c>
      <c r="T482" s="23"/>
      <c r="U482" s="23">
        <v>4582</v>
      </c>
      <c r="V482" s="79" t="s">
        <v>829</v>
      </c>
      <c r="W482" s="82">
        <f t="shared" si="105"/>
        <v>0</v>
      </c>
      <c r="Y482" s="4"/>
      <c r="Z482" s="4"/>
      <c r="AA482" s="82"/>
      <c r="AB482" s="82"/>
      <c r="AC482" s="82"/>
      <c r="AD482" s="23"/>
      <c r="AE482" s="7" t="s">
        <v>494</v>
      </c>
      <c r="AH482" s="23">
        <f>SUM('2021 Detail'!J463:U463)+SUM('2021 Detail'!AA463:AC463)</f>
        <v>25582</v>
      </c>
      <c r="AJ482" s="23">
        <f t="shared" si="106"/>
        <v>0</v>
      </c>
      <c r="AL482" t="str">
        <f t="shared" si="107"/>
        <v>Same</v>
      </c>
      <c r="AQ482" s="23">
        <v>11582</v>
      </c>
    </row>
    <row r="483" spans="1:43" x14ac:dyDescent="0.2">
      <c r="A483" s="226" t="s">
        <v>349</v>
      </c>
      <c r="B483" s="9" t="s">
        <v>495</v>
      </c>
      <c r="C483" s="9" t="s">
        <v>495</v>
      </c>
      <c r="D483" s="9" t="s">
        <v>495</v>
      </c>
      <c r="E483" s="9"/>
      <c r="F483" s="9" t="s">
        <v>495</v>
      </c>
      <c r="G483" s="83">
        <v>26412</v>
      </c>
      <c r="H483" s="83">
        <f t="shared" si="103"/>
        <v>12412</v>
      </c>
      <c r="I483" s="133">
        <f t="shared" si="104"/>
        <v>0.46989999999999998</v>
      </c>
      <c r="J483" s="82">
        <v>1000</v>
      </c>
      <c r="K483" s="82">
        <v>412</v>
      </c>
      <c r="L483" s="82"/>
      <c r="M483" s="82">
        <v>1000</v>
      </c>
      <c r="N483" s="82">
        <v>1000</v>
      </c>
      <c r="O483" s="82">
        <v>1000</v>
      </c>
      <c r="P483" s="82">
        <v>2000</v>
      </c>
      <c r="Q483" s="82">
        <v>2000</v>
      </c>
      <c r="R483" s="82">
        <v>1000</v>
      </c>
      <c r="S483" s="23">
        <v>2000</v>
      </c>
      <c r="T483" s="23">
        <v>1000</v>
      </c>
      <c r="U483" s="23"/>
      <c r="V483" s="79" t="s">
        <v>831</v>
      </c>
      <c r="W483" s="82">
        <f t="shared" si="105"/>
        <v>14000</v>
      </c>
      <c r="Y483" s="4"/>
      <c r="Z483" s="4"/>
      <c r="AA483" s="82"/>
      <c r="AB483" s="82"/>
      <c r="AC483" s="82"/>
      <c r="AD483" s="23"/>
      <c r="AE483" s="7" t="s">
        <v>488</v>
      </c>
      <c r="AH483" s="23">
        <f>SUM('2021 Detail'!J465:U465)+SUM('2021 Detail'!AA465:AC465)</f>
        <v>15411</v>
      </c>
      <c r="AJ483" s="23">
        <f t="shared" si="106"/>
        <v>-2999</v>
      </c>
      <c r="AL483" t="str">
        <f t="shared" si="107"/>
        <v>Down</v>
      </c>
      <c r="AQ483" s="23">
        <v>3000</v>
      </c>
    </row>
    <row r="484" spans="1:43" x14ac:dyDescent="0.2">
      <c r="A484" s="226" t="s">
        <v>350</v>
      </c>
      <c r="B484" s="9" t="s">
        <v>495</v>
      </c>
      <c r="C484" s="9" t="s">
        <v>495</v>
      </c>
      <c r="D484" s="9">
        <v>0</v>
      </c>
      <c r="E484" s="9"/>
      <c r="F484" s="9">
        <v>0</v>
      </c>
      <c r="G484" s="83">
        <v>84192</v>
      </c>
      <c r="H484" s="83">
        <f t="shared" si="103"/>
        <v>84192</v>
      </c>
      <c r="I484" s="133">
        <f t="shared" si="104"/>
        <v>1</v>
      </c>
      <c r="J484" s="82">
        <v>8592</v>
      </c>
      <c r="K484" s="82">
        <v>8400</v>
      </c>
      <c r="L484" s="82">
        <v>8400</v>
      </c>
      <c r="M484" s="82">
        <v>8400</v>
      </c>
      <c r="N484" s="82">
        <v>8400</v>
      </c>
      <c r="O484" s="82">
        <v>8400</v>
      </c>
      <c r="P484" s="82">
        <v>8400</v>
      </c>
      <c r="Q484" s="82">
        <v>8400</v>
      </c>
      <c r="R484" s="82">
        <v>8400</v>
      </c>
      <c r="S484" s="23">
        <v>8400</v>
      </c>
      <c r="T484" s="23"/>
      <c r="U484" s="23"/>
      <c r="V484" s="79" t="s">
        <v>832</v>
      </c>
      <c r="W484" s="82">
        <f t="shared" si="105"/>
        <v>0</v>
      </c>
      <c r="Y484" s="4"/>
      <c r="Z484" s="4"/>
      <c r="AA484" s="82"/>
      <c r="AB484" s="82"/>
      <c r="AC484" s="82"/>
      <c r="AD484" s="23"/>
      <c r="AE484" s="7" t="s">
        <v>997</v>
      </c>
      <c r="AH484" s="23">
        <f>SUM('2021 Detail'!J466:U466)+SUM('2021 Detail'!AA466:AC466)</f>
        <v>84193</v>
      </c>
      <c r="AJ484" s="23">
        <f t="shared" si="106"/>
        <v>-1</v>
      </c>
      <c r="AL484" t="str">
        <f t="shared" si="107"/>
        <v>Down</v>
      </c>
    </row>
    <row r="485" spans="1:43" x14ac:dyDescent="0.2">
      <c r="A485" s="226" t="s">
        <v>351</v>
      </c>
      <c r="B485" s="9">
        <v>0</v>
      </c>
      <c r="C485" s="9" t="s">
        <v>495</v>
      </c>
      <c r="D485" s="9">
        <v>0</v>
      </c>
      <c r="E485" s="9"/>
      <c r="F485" s="9">
        <v>0</v>
      </c>
      <c r="G485" s="83">
        <v>15876</v>
      </c>
      <c r="H485" s="83">
        <f t="shared" si="103"/>
        <v>15876</v>
      </c>
      <c r="I485" s="133">
        <f t="shared" si="104"/>
        <v>1</v>
      </c>
      <c r="J485" s="82"/>
      <c r="K485" s="82">
        <v>1323</v>
      </c>
      <c r="L485" s="82">
        <v>1323</v>
      </c>
      <c r="M485" s="82">
        <v>1323</v>
      </c>
      <c r="N485" s="82">
        <v>1323</v>
      </c>
      <c r="O485" s="82">
        <v>2646</v>
      </c>
      <c r="P485" s="82"/>
      <c r="Q485" s="82">
        <v>1323</v>
      </c>
      <c r="R485" s="82">
        <v>1323</v>
      </c>
      <c r="S485" s="23">
        <v>1323</v>
      </c>
      <c r="T485" s="23">
        <v>1323</v>
      </c>
      <c r="U485" s="23">
        <v>2646</v>
      </c>
      <c r="V485" s="79" t="s">
        <v>833</v>
      </c>
      <c r="W485" s="82">
        <f t="shared" si="105"/>
        <v>0</v>
      </c>
      <c r="Y485" s="4"/>
      <c r="Z485" s="4"/>
      <c r="AA485" s="82"/>
      <c r="AB485" s="82"/>
      <c r="AC485" s="82"/>
      <c r="AD485" s="23"/>
      <c r="AE485" s="7" t="s">
        <v>483</v>
      </c>
      <c r="AH485" s="23">
        <f>SUM('2021 Detail'!J467:U467)+SUM('2021 Detail'!AA467:AC467)</f>
        <v>15876</v>
      </c>
      <c r="AJ485" s="23">
        <f t="shared" si="106"/>
        <v>0</v>
      </c>
      <c r="AL485" t="str">
        <f t="shared" si="107"/>
        <v>Same</v>
      </c>
      <c r="AQ485" s="23">
        <v>2646</v>
      </c>
    </row>
    <row r="486" spans="1:43" x14ac:dyDescent="0.2">
      <c r="A486" s="226" t="s">
        <v>352</v>
      </c>
      <c r="B486" s="9" t="s">
        <v>495</v>
      </c>
      <c r="C486" s="9" t="s">
        <v>495</v>
      </c>
      <c r="D486" s="9">
        <v>0</v>
      </c>
      <c r="E486" s="9"/>
      <c r="F486" s="9">
        <v>0</v>
      </c>
      <c r="G486" s="83">
        <v>12151.73</v>
      </c>
      <c r="H486" s="83">
        <f t="shared" si="103"/>
        <v>5000</v>
      </c>
      <c r="I486" s="133">
        <f t="shared" si="104"/>
        <v>0.41149999999999998</v>
      </c>
      <c r="J486" s="82"/>
      <c r="K486" s="82"/>
      <c r="L486" s="82"/>
      <c r="M486" s="82"/>
      <c r="N486" s="82"/>
      <c r="O486" s="82"/>
      <c r="P486" s="82"/>
      <c r="Q486" s="82">
        <v>1500</v>
      </c>
      <c r="R486" s="82"/>
      <c r="S486" s="23"/>
      <c r="T486" s="23">
        <v>3000</v>
      </c>
      <c r="U486" s="23"/>
      <c r="V486" s="79" t="s">
        <v>834</v>
      </c>
      <c r="W486" s="82">
        <f t="shared" si="105"/>
        <v>7151.73</v>
      </c>
      <c r="Y486" s="4"/>
      <c r="Z486" s="4"/>
      <c r="AA486" s="82">
        <v>500</v>
      </c>
      <c r="AB486" s="82"/>
      <c r="AC486" s="82"/>
      <c r="AD486" s="23"/>
      <c r="AE486" s="7" t="s">
        <v>481</v>
      </c>
      <c r="AH486" s="23">
        <f>SUM('2021 Detail'!J468:U468)+SUM('2021 Detail'!AA468:AC468)</f>
        <v>3000</v>
      </c>
      <c r="AJ486" s="23">
        <f t="shared" si="106"/>
        <v>2000</v>
      </c>
      <c r="AL486" t="str">
        <f t="shared" si="107"/>
        <v>Up</v>
      </c>
    </row>
    <row r="487" spans="1:43" x14ac:dyDescent="0.2">
      <c r="A487" s="226" t="s">
        <v>353</v>
      </c>
      <c r="B487" s="9" t="s">
        <v>495</v>
      </c>
      <c r="C487" s="9" t="s">
        <v>495</v>
      </c>
      <c r="D487" s="9" t="s">
        <v>495</v>
      </c>
      <c r="E487" s="9"/>
      <c r="F487" s="9">
        <v>0</v>
      </c>
      <c r="G487" s="83">
        <v>15107.54</v>
      </c>
      <c r="H487" s="83">
        <f t="shared" si="103"/>
        <v>15108</v>
      </c>
      <c r="I487" s="133">
        <f t="shared" si="104"/>
        <v>1</v>
      </c>
      <c r="J487" s="82"/>
      <c r="K487" s="82"/>
      <c r="L487" s="82">
        <v>4110</v>
      </c>
      <c r="M487" s="82"/>
      <c r="N487" s="82"/>
      <c r="O487" s="82">
        <v>4110</v>
      </c>
      <c r="P487" s="82"/>
      <c r="Q487" s="82"/>
      <c r="R487" s="82">
        <v>3444</v>
      </c>
      <c r="S487" s="23"/>
      <c r="T487" s="23"/>
      <c r="U487" s="23">
        <v>3444</v>
      </c>
      <c r="V487" s="79" t="s">
        <v>835</v>
      </c>
      <c r="W487" s="82">
        <f t="shared" si="105"/>
        <v>-0.45999999999912689</v>
      </c>
      <c r="Y487" s="4"/>
      <c r="Z487" s="4"/>
      <c r="AA487" s="82"/>
      <c r="AB487" s="82"/>
      <c r="AC487" s="82"/>
      <c r="AD487" s="23"/>
      <c r="AE487" s="7" t="s">
        <v>481</v>
      </c>
      <c r="AH487" s="23">
        <f>SUM('2021 Detail'!J469:U469)+SUM('2021 Detail'!AA469:AC469)</f>
        <v>8220</v>
      </c>
      <c r="AJ487" s="23">
        <f t="shared" si="106"/>
        <v>6888</v>
      </c>
      <c r="AL487" t="str">
        <f t="shared" si="107"/>
        <v>Up</v>
      </c>
      <c r="AQ487" s="23">
        <v>2610</v>
      </c>
    </row>
    <row r="488" spans="1:43" x14ac:dyDescent="0.2">
      <c r="A488" s="226" t="s">
        <v>354</v>
      </c>
      <c r="B488" s="9" t="s">
        <v>495</v>
      </c>
      <c r="C488" s="9">
        <v>0</v>
      </c>
      <c r="D488" s="9" t="s">
        <v>495</v>
      </c>
      <c r="E488" s="9"/>
      <c r="F488" s="9">
        <v>0</v>
      </c>
      <c r="G488" s="83">
        <v>20881</v>
      </c>
      <c r="H488" s="83">
        <f t="shared" si="103"/>
        <v>3000</v>
      </c>
      <c r="I488" s="133">
        <f t="shared" si="104"/>
        <v>0.14369999999999999</v>
      </c>
      <c r="J488" s="82">
        <v>250</v>
      </c>
      <c r="K488" s="82"/>
      <c r="L488" s="82">
        <v>500</v>
      </c>
      <c r="M488" s="82"/>
      <c r="N488" s="82">
        <v>500</v>
      </c>
      <c r="O488" s="82">
        <v>250</v>
      </c>
      <c r="P488" s="82"/>
      <c r="Q488" s="82">
        <v>500</v>
      </c>
      <c r="R488" s="82">
        <v>250</v>
      </c>
      <c r="S488" s="23">
        <v>250</v>
      </c>
      <c r="T488" s="23">
        <v>250</v>
      </c>
      <c r="U488" s="23">
        <v>250</v>
      </c>
      <c r="V488" s="79" t="s">
        <v>836</v>
      </c>
      <c r="W488" s="82">
        <f t="shared" si="105"/>
        <v>17881</v>
      </c>
      <c r="Y488" s="4"/>
      <c r="Z488" s="4"/>
      <c r="AA488" s="82"/>
      <c r="AB488" s="82"/>
      <c r="AC488" s="82"/>
      <c r="AD488" s="23"/>
      <c r="AE488" s="7" t="s">
        <v>488</v>
      </c>
      <c r="AH488" s="23">
        <f>SUM('2021 Detail'!J470:U470)+SUM('2021 Detail'!AA470:AC470)</f>
        <v>3000</v>
      </c>
      <c r="AJ488" s="23">
        <f t="shared" si="106"/>
        <v>0</v>
      </c>
      <c r="AL488" t="str">
        <f t="shared" si="107"/>
        <v>Same</v>
      </c>
      <c r="AQ488" s="23">
        <v>250</v>
      </c>
    </row>
    <row r="489" spans="1:43" x14ac:dyDescent="0.2">
      <c r="A489" s="226" t="s">
        <v>355</v>
      </c>
      <c r="B489" s="9" t="s">
        <v>495</v>
      </c>
      <c r="C489" s="9" t="s">
        <v>495</v>
      </c>
      <c r="D489" s="9" t="s">
        <v>495</v>
      </c>
      <c r="E489" s="9"/>
      <c r="F489" s="9" t="s">
        <v>495</v>
      </c>
      <c r="G489" s="83">
        <v>59729</v>
      </c>
      <c r="H489" s="83">
        <f t="shared" si="103"/>
        <v>39819.360000000001</v>
      </c>
      <c r="I489" s="133">
        <f t="shared" si="104"/>
        <v>0.66669999999999996</v>
      </c>
      <c r="J489" s="82">
        <v>4977.49</v>
      </c>
      <c r="K489" s="82">
        <v>4977.41</v>
      </c>
      <c r="L489" s="82"/>
      <c r="M489" s="82"/>
      <c r="N489" s="82">
        <v>4977.41</v>
      </c>
      <c r="O489" s="82">
        <v>4977.41</v>
      </c>
      <c r="P489" s="82">
        <v>4977.41</v>
      </c>
      <c r="Q489" s="82">
        <v>4977.41</v>
      </c>
      <c r="R489" s="82">
        <v>4977.41</v>
      </c>
      <c r="S489" s="23">
        <v>4977.41</v>
      </c>
      <c r="T489" s="23"/>
      <c r="U489" s="23"/>
      <c r="V489" s="79" t="s">
        <v>837</v>
      </c>
      <c r="W489" s="82">
        <f t="shared" si="105"/>
        <v>19909.64</v>
      </c>
      <c r="Y489" s="4"/>
      <c r="Z489" s="4"/>
      <c r="AA489" s="82"/>
      <c r="AB489" s="82"/>
      <c r="AC489" s="82"/>
      <c r="AD489" s="23"/>
      <c r="AE489" s="7" t="s">
        <v>484</v>
      </c>
      <c r="AH489" s="23">
        <f>SUM('2021 Detail'!J471:U471)+SUM('2021 Detail'!AA471:AC471)</f>
        <v>39819.279999999999</v>
      </c>
      <c r="AJ489" s="23">
        <f t="shared" si="106"/>
        <v>8.000000000174623E-2</v>
      </c>
      <c r="AL489" t="str">
        <f t="shared" si="107"/>
        <v>Up</v>
      </c>
      <c r="AQ489" s="23">
        <v>4977.41</v>
      </c>
    </row>
    <row r="490" spans="1:43" x14ac:dyDescent="0.2">
      <c r="A490" s="226" t="s">
        <v>356</v>
      </c>
      <c r="B490" s="9" t="s">
        <v>495</v>
      </c>
      <c r="C490" s="9" t="s">
        <v>495</v>
      </c>
      <c r="D490" s="9" t="s">
        <v>495</v>
      </c>
      <c r="E490" s="9"/>
      <c r="F490" s="9">
        <v>0</v>
      </c>
      <c r="G490" s="83">
        <v>11823.3</v>
      </c>
      <c r="H490" s="83">
        <f t="shared" si="103"/>
        <v>9000</v>
      </c>
      <c r="I490" s="133">
        <f t="shared" si="104"/>
        <v>0.76119999999999999</v>
      </c>
      <c r="J490" s="82">
        <v>875</v>
      </c>
      <c r="K490" s="82"/>
      <c r="L490" s="82"/>
      <c r="M490" s="82">
        <v>1375</v>
      </c>
      <c r="N490" s="82"/>
      <c r="O490" s="82">
        <v>500</v>
      </c>
      <c r="P490" s="82">
        <v>5000</v>
      </c>
      <c r="Q490" s="82"/>
      <c r="R490" s="82"/>
      <c r="S490" s="23">
        <v>500</v>
      </c>
      <c r="T490" s="23">
        <v>750</v>
      </c>
      <c r="U490" s="23"/>
      <c r="V490" s="79" t="s">
        <v>838</v>
      </c>
      <c r="W490" s="82">
        <f t="shared" si="105"/>
        <v>2823.2999999999993</v>
      </c>
      <c r="Y490" s="4"/>
      <c r="Z490" s="4"/>
      <c r="AA490" s="82"/>
      <c r="AB490" s="82"/>
      <c r="AC490" s="82"/>
      <c r="AD490" s="23"/>
      <c r="AE490" s="7" t="s">
        <v>481</v>
      </c>
      <c r="AH490" s="23">
        <f>SUM('2021 Detail'!J472:U472)+SUM('2021 Detail'!AA472:AC472)</f>
        <v>6200</v>
      </c>
      <c r="AJ490" s="23">
        <f t="shared" si="106"/>
        <v>2800</v>
      </c>
      <c r="AL490" t="str">
        <f t="shared" si="107"/>
        <v>Up</v>
      </c>
    </row>
    <row r="491" spans="1:43" x14ac:dyDescent="0.2">
      <c r="A491" s="226" t="s">
        <v>357</v>
      </c>
      <c r="B491" s="9" t="s">
        <v>495</v>
      </c>
      <c r="C491" s="9" t="s">
        <v>495</v>
      </c>
      <c r="D491" s="9">
        <v>0</v>
      </c>
      <c r="E491" s="9"/>
      <c r="F491" s="9" t="s">
        <v>495</v>
      </c>
      <c r="G491" s="83">
        <v>20690.78</v>
      </c>
      <c r="H491" s="83">
        <f t="shared" si="103"/>
        <v>19900</v>
      </c>
      <c r="I491" s="133">
        <f t="shared" si="104"/>
        <v>0.96179999999999999</v>
      </c>
      <c r="J491" s="82">
        <v>700</v>
      </c>
      <c r="K491" s="82">
        <v>700</v>
      </c>
      <c r="L491" s="82">
        <v>700</v>
      </c>
      <c r="M491" s="82">
        <v>2700</v>
      </c>
      <c r="N491" s="82">
        <v>700</v>
      </c>
      <c r="O491" s="82">
        <v>700</v>
      </c>
      <c r="P491" s="82">
        <v>700</v>
      </c>
      <c r="Q491" s="82">
        <v>700</v>
      </c>
      <c r="R491" s="82">
        <v>700</v>
      </c>
      <c r="S491" s="23">
        <v>2200</v>
      </c>
      <c r="T491" s="23">
        <v>2700</v>
      </c>
      <c r="U491" s="23">
        <v>700</v>
      </c>
      <c r="V491" s="79" t="s">
        <v>839</v>
      </c>
      <c r="W491" s="82">
        <f t="shared" si="105"/>
        <v>790.77999999999884</v>
      </c>
      <c r="Y491" s="4"/>
      <c r="Z491" s="4"/>
      <c r="AA491" s="82">
        <v>6000</v>
      </c>
      <c r="AB491" s="82"/>
      <c r="AC491" s="82"/>
      <c r="AD491" s="23"/>
      <c r="AE491" s="7" t="s">
        <v>481</v>
      </c>
      <c r="AH491" s="23">
        <f>SUM('2021 Detail'!J473:U473)+SUM('2021 Detail'!AA473:AC473)</f>
        <v>16420</v>
      </c>
      <c r="AJ491" s="23">
        <f t="shared" si="106"/>
        <v>3480</v>
      </c>
      <c r="AL491" t="str">
        <f t="shared" si="107"/>
        <v>Up</v>
      </c>
      <c r="AQ491" s="23">
        <v>5220</v>
      </c>
    </row>
    <row r="492" spans="1:43" x14ac:dyDescent="0.2">
      <c r="A492" s="226" t="s">
        <v>358</v>
      </c>
      <c r="B492" s="9" t="s">
        <v>495</v>
      </c>
      <c r="C492" s="9" t="s">
        <v>495</v>
      </c>
      <c r="D492" s="9" t="s">
        <v>495</v>
      </c>
      <c r="E492" s="9"/>
      <c r="F492" s="9" t="s">
        <v>495</v>
      </c>
      <c r="G492" s="83">
        <v>72321</v>
      </c>
      <c r="H492" s="83">
        <f t="shared" si="103"/>
        <v>72321</v>
      </c>
      <c r="I492" s="133">
        <f t="shared" si="104"/>
        <v>1</v>
      </c>
      <c r="J492" s="82">
        <v>3000</v>
      </c>
      <c r="K492" s="82">
        <v>3000</v>
      </c>
      <c r="L492" s="82">
        <v>3000</v>
      </c>
      <c r="M492" s="82">
        <v>3000</v>
      </c>
      <c r="N492" s="82">
        <v>3000</v>
      </c>
      <c r="O492" s="82">
        <v>13000</v>
      </c>
      <c r="P492" s="82">
        <v>3000</v>
      </c>
      <c r="Q492" s="82">
        <v>3000</v>
      </c>
      <c r="R492" s="82">
        <v>3000</v>
      </c>
      <c r="S492" s="23">
        <v>18000</v>
      </c>
      <c r="T492" s="23">
        <v>3000</v>
      </c>
      <c r="U492" s="23">
        <v>14321</v>
      </c>
      <c r="V492" s="79" t="s">
        <v>840</v>
      </c>
      <c r="W492" s="82">
        <f t="shared" si="105"/>
        <v>0</v>
      </c>
      <c r="Y492" s="4"/>
      <c r="Z492" s="4"/>
      <c r="AA492" s="82"/>
      <c r="AB492" s="82"/>
      <c r="AC492" s="82"/>
      <c r="AD492" s="23"/>
      <c r="AE492" s="7" t="s">
        <v>489</v>
      </c>
      <c r="AH492" s="23">
        <f>SUM('2021 Detail'!J474:U474)+SUM('2021 Detail'!AA474:AC474)</f>
        <v>72321</v>
      </c>
      <c r="AJ492" s="23">
        <f t="shared" si="106"/>
        <v>0</v>
      </c>
      <c r="AL492" t="str">
        <f t="shared" si="107"/>
        <v>Same</v>
      </c>
      <c r="AQ492" s="23">
        <v>9321</v>
      </c>
    </row>
    <row r="493" spans="1:43" x14ac:dyDescent="0.2">
      <c r="A493" s="226" t="s">
        <v>359</v>
      </c>
      <c r="B493" s="9" t="s">
        <v>495</v>
      </c>
      <c r="C493" s="9" t="s">
        <v>495</v>
      </c>
      <c r="D493" s="9" t="s">
        <v>495</v>
      </c>
      <c r="E493" s="9"/>
      <c r="F493" s="9">
        <v>0</v>
      </c>
      <c r="G493" s="83">
        <v>18483</v>
      </c>
      <c r="H493" s="83">
        <f t="shared" si="103"/>
        <v>18480</v>
      </c>
      <c r="I493" s="133">
        <f t="shared" si="104"/>
        <v>0.99980000000000002</v>
      </c>
      <c r="J493" s="82">
        <v>1540</v>
      </c>
      <c r="K493" s="82">
        <v>1540</v>
      </c>
      <c r="L493" s="82">
        <v>1540</v>
      </c>
      <c r="M493" s="82">
        <v>1540</v>
      </c>
      <c r="N493" s="82">
        <v>1540</v>
      </c>
      <c r="O493" s="82">
        <v>1540</v>
      </c>
      <c r="P493" s="82">
        <v>1540</v>
      </c>
      <c r="Q493" s="82">
        <v>1540</v>
      </c>
      <c r="R493" s="82">
        <v>1540</v>
      </c>
      <c r="S493" s="23">
        <v>1540</v>
      </c>
      <c r="T493" s="23">
        <v>1540</v>
      </c>
      <c r="U493" s="23">
        <v>1540</v>
      </c>
      <c r="V493" s="79" t="s">
        <v>841</v>
      </c>
      <c r="W493" s="82">
        <f t="shared" si="105"/>
        <v>3</v>
      </c>
      <c r="Y493" s="4"/>
      <c r="Z493" s="4"/>
      <c r="AA493" s="82"/>
      <c r="AB493" s="82"/>
      <c r="AC493" s="82"/>
      <c r="AD493" s="23"/>
      <c r="AE493" s="7" t="s">
        <v>482</v>
      </c>
      <c r="AH493" s="23">
        <f>SUM('2021 Detail'!J475:U475)+SUM('2021 Detail'!AA475:AC475)</f>
        <v>18485</v>
      </c>
      <c r="AJ493" s="23">
        <f t="shared" si="106"/>
        <v>-5</v>
      </c>
      <c r="AL493" t="str">
        <f t="shared" si="107"/>
        <v>Down</v>
      </c>
    </row>
    <row r="494" spans="1:43" x14ac:dyDescent="0.2">
      <c r="A494" s="226" t="s">
        <v>360</v>
      </c>
      <c r="B494" s="9" t="s">
        <v>495</v>
      </c>
      <c r="C494" s="9" t="s">
        <v>495</v>
      </c>
      <c r="D494" s="9" t="s">
        <v>495</v>
      </c>
      <c r="E494" s="9"/>
      <c r="F494" s="9">
        <v>0</v>
      </c>
      <c r="G494" s="83">
        <v>22718</v>
      </c>
      <c r="H494" s="83">
        <f t="shared" si="103"/>
        <v>19000</v>
      </c>
      <c r="I494" s="133">
        <f t="shared" si="104"/>
        <v>0.83630000000000004</v>
      </c>
      <c r="J494" s="82"/>
      <c r="K494" s="82">
        <v>4500</v>
      </c>
      <c r="L494" s="82">
        <v>2000</v>
      </c>
      <c r="M494" s="82">
        <v>2000</v>
      </c>
      <c r="N494" s="82">
        <v>2500</v>
      </c>
      <c r="O494" s="82">
        <v>1000</v>
      </c>
      <c r="P494" s="82">
        <v>2000</v>
      </c>
      <c r="Q494" s="82">
        <v>1500</v>
      </c>
      <c r="R494" s="82"/>
      <c r="S494" s="23">
        <v>2500</v>
      </c>
      <c r="T494" s="23">
        <v>1000</v>
      </c>
      <c r="U494" s="23"/>
      <c r="V494" s="79" t="s">
        <v>842</v>
      </c>
      <c r="W494" s="82">
        <f t="shared" si="105"/>
        <v>3718</v>
      </c>
      <c r="Y494" s="4"/>
      <c r="Z494" s="4"/>
      <c r="AA494" s="82"/>
      <c r="AB494" s="82"/>
      <c r="AC494" s="82"/>
      <c r="AD494" s="23"/>
      <c r="AE494" s="7" t="s">
        <v>490</v>
      </c>
      <c r="AH494" s="23">
        <f>SUM('2021 Detail'!J476:U476)+SUM('2021 Detail'!AA476:AC476)</f>
        <v>17250</v>
      </c>
      <c r="AJ494" s="23">
        <f t="shared" si="106"/>
        <v>1750</v>
      </c>
      <c r="AL494" t="str">
        <f t="shared" si="107"/>
        <v>Up</v>
      </c>
    </row>
    <row r="495" spans="1:43" x14ac:dyDescent="0.2">
      <c r="A495" s="226" t="s">
        <v>361</v>
      </c>
      <c r="B495" s="9" t="s">
        <v>495</v>
      </c>
      <c r="C495" s="9" t="s">
        <v>495</v>
      </c>
      <c r="D495" s="9">
        <v>0</v>
      </c>
      <c r="E495" s="9"/>
      <c r="F495" s="9" t="s">
        <v>495</v>
      </c>
      <c r="G495" s="83">
        <v>70174</v>
      </c>
      <c r="H495" s="83">
        <f t="shared" si="103"/>
        <v>70174</v>
      </c>
      <c r="I495" s="133">
        <f t="shared" si="104"/>
        <v>1</v>
      </c>
      <c r="J495" s="82">
        <v>34259</v>
      </c>
      <c r="K495" s="82">
        <v>3265</v>
      </c>
      <c r="L495" s="82">
        <v>3265</v>
      </c>
      <c r="M495" s="82">
        <v>3265</v>
      </c>
      <c r="N495" s="82">
        <v>3265</v>
      </c>
      <c r="O495" s="82">
        <v>3265</v>
      </c>
      <c r="P495" s="82">
        <v>3265</v>
      </c>
      <c r="Q495" s="82">
        <v>3265</v>
      </c>
      <c r="R495" s="82">
        <v>3265</v>
      </c>
      <c r="S495" s="23">
        <v>3265</v>
      </c>
      <c r="T495" s="23">
        <v>3265</v>
      </c>
      <c r="U495" s="23">
        <v>3265</v>
      </c>
      <c r="V495" s="79" t="s">
        <v>843</v>
      </c>
      <c r="W495" s="82">
        <f t="shared" si="105"/>
        <v>0</v>
      </c>
      <c r="Y495" s="4"/>
      <c r="Z495" s="4"/>
      <c r="AA495" s="82"/>
      <c r="AB495" s="82"/>
      <c r="AC495" s="82"/>
      <c r="AD495" s="23"/>
      <c r="AE495" s="7" t="s">
        <v>485</v>
      </c>
      <c r="AH495" s="23">
        <f>SUM('2021 Detail'!J477:U477)+SUM('2021 Detail'!AA477:AC477)</f>
        <v>52620</v>
      </c>
      <c r="AJ495" s="23">
        <f t="shared" si="106"/>
        <v>17554</v>
      </c>
      <c r="AL495" t="str">
        <f t="shared" si="107"/>
        <v>Up</v>
      </c>
      <c r="AQ495" s="23">
        <v>2485</v>
      </c>
    </row>
    <row r="496" spans="1:43" x14ac:dyDescent="0.2">
      <c r="A496" s="226" t="s">
        <v>362</v>
      </c>
      <c r="B496" s="9" t="s">
        <v>495</v>
      </c>
      <c r="C496" s="9" t="s">
        <v>495</v>
      </c>
      <c r="D496" s="9" t="s">
        <v>495</v>
      </c>
      <c r="E496" s="9"/>
      <c r="F496" s="9" t="s">
        <v>495</v>
      </c>
      <c r="G496" s="83">
        <v>24665</v>
      </c>
      <c r="H496" s="83">
        <f t="shared" si="103"/>
        <v>17500</v>
      </c>
      <c r="I496" s="133">
        <f t="shared" si="104"/>
        <v>0.70950000000000002</v>
      </c>
      <c r="J496" s="82">
        <v>1500</v>
      </c>
      <c r="K496" s="82"/>
      <c r="L496" s="82">
        <v>3000</v>
      </c>
      <c r="M496" s="82"/>
      <c r="N496" s="82">
        <v>4000</v>
      </c>
      <c r="O496" s="82"/>
      <c r="P496" s="82"/>
      <c r="Q496" s="82">
        <v>6000</v>
      </c>
      <c r="R496" s="82"/>
      <c r="S496" s="23"/>
      <c r="T496" s="23">
        <v>3000</v>
      </c>
      <c r="U496" s="23"/>
      <c r="V496" s="79" t="s">
        <v>844</v>
      </c>
      <c r="W496" s="82">
        <f t="shared" si="105"/>
        <v>7165</v>
      </c>
      <c r="Y496" s="4"/>
      <c r="Z496" s="4"/>
      <c r="AA496" s="82"/>
      <c r="AB496" s="82"/>
      <c r="AC496" s="82"/>
      <c r="AD496" s="23"/>
      <c r="AE496" s="7" t="s">
        <v>491</v>
      </c>
      <c r="AH496" s="23">
        <f>SUM('2021 Detail'!J478:U478)+SUM('2021 Detail'!AA478:AC478)</f>
        <v>14000</v>
      </c>
      <c r="AJ496" s="23">
        <f t="shared" si="106"/>
        <v>3500</v>
      </c>
      <c r="AL496" t="str">
        <f t="shared" si="107"/>
        <v>Up</v>
      </c>
    </row>
    <row r="497" spans="1:43" x14ac:dyDescent="0.2">
      <c r="A497" s="226" t="s">
        <v>363</v>
      </c>
      <c r="B497" s="9" t="s">
        <v>495</v>
      </c>
      <c r="C497" s="9" t="s">
        <v>495</v>
      </c>
      <c r="D497" s="9" t="s">
        <v>495</v>
      </c>
      <c r="E497" s="9"/>
      <c r="F497" s="9" t="s">
        <v>495</v>
      </c>
      <c r="G497" s="83">
        <v>47704</v>
      </c>
      <c r="H497" s="83">
        <f t="shared" si="103"/>
        <v>47703</v>
      </c>
      <c r="I497" s="133">
        <f t="shared" si="104"/>
        <v>1</v>
      </c>
      <c r="J497" s="82">
        <v>3975.25</v>
      </c>
      <c r="K497" s="82">
        <v>3975.25</v>
      </c>
      <c r="L497" s="82">
        <v>3975.25</v>
      </c>
      <c r="M497" s="82">
        <v>3975.25</v>
      </c>
      <c r="N497" s="82">
        <v>3975.25</v>
      </c>
      <c r="O497" s="82">
        <v>3975.25</v>
      </c>
      <c r="P497" s="82">
        <v>3975.25</v>
      </c>
      <c r="Q497" s="82">
        <v>3975.25</v>
      </c>
      <c r="R497" s="82">
        <v>3975.25</v>
      </c>
      <c r="S497" s="23">
        <v>3975.25</v>
      </c>
      <c r="T497" s="23">
        <v>3975.25</v>
      </c>
      <c r="U497" s="23">
        <v>3975.25</v>
      </c>
      <c r="V497" s="79" t="s">
        <v>845</v>
      </c>
      <c r="W497" s="82">
        <f t="shared" si="105"/>
        <v>1</v>
      </c>
      <c r="Y497" s="4"/>
      <c r="Z497" s="4"/>
      <c r="AA497" s="82"/>
      <c r="AB497" s="82"/>
      <c r="AC497" s="82"/>
      <c r="AD497" s="23"/>
      <c r="AE497" s="7" t="s">
        <v>492</v>
      </c>
      <c r="AH497" s="23">
        <f>SUM('2021 Detail'!J479:U479)+SUM('2021 Detail'!AA479:AC479)</f>
        <v>47703</v>
      </c>
      <c r="AJ497" s="23">
        <f t="shared" si="106"/>
        <v>0</v>
      </c>
      <c r="AL497" t="str">
        <f t="shared" si="107"/>
        <v>Same</v>
      </c>
      <c r="AQ497" s="23">
        <v>3975.25</v>
      </c>
    </row>
    <row r="498" spans="1:43" x14ac:dyDescent="0.2">
      <c r="A498" s="226" t="s">
        <v>364</v>
      </c>
      <c r="B498" s="9" t="s">
        <v>495</v>
      </c>
      <c r="C498" s="9" t="s">
        <v>495</v>
      </c>
      <c r="D498" s="9" t="s">
        <v>495</v>
      </c>
      <c r="E498" s="9"/>
      <c r="F498" s="9">
        <v>0</v>
      </c>
      <c r="G498" s="83">
        <v>67269</v>
      </c>
      <c r="H498" s="83">
        <f t="shared" si="103"/>
        <v>67269</v>
      </c>
      <c r="I498" s="133">
        <f t="shared" si="104"/>
        <v>1</v>
      </c>
      <c r="J498" s="82"/>
      <c r="K498" s="82"/>
      <c r="L498" s="82">
        <v>20000</v>
      </c>
      <c r="M498" s="82"/>
      <c r="N498" s="82">
        <v>20000</v>
      </c>
      <c r="O498" s="82"/>
      <c r="P498" s="82"/>
      <c r="Q498" s="82"/>
      <c r="R498" s="82"/>
      <c r="S498" s="23"/>
      <c r="T498" s="23">
        <v>27269</v>
      </c>
      <c r="U498" s="23"/>
      <c r="V498" s="79" t="s">
        <v>846</v>
      </c>
      <c r="W498" s="82">
        <f t="shared" si="105"/>
        <v>0</v>
      </c>
      <c r="Y498" s="4"/>
      <c r="Z498" s="4"/>
      <c r="AA498" s="82"/>
      <c r="AB498" s="82"/>
      <c r="AC498" s="82"/>
      <c r="AD498" s="23"/>
      <c r="AE498" s="7" t="s">
        <v>486</v>
      </c>
      <c r="AH498" s="23">
        <f>SUM('2021 Detail'!J480:U480)+SUM('2021 Detail'!AA480:AC480)</f>
        <v>67268</v>
      </c>
      <c r="AJ498" s="23">
        <f t="shared" si="106"/>
        <v>1</v>
      </c>
      <c r="AL498" t="str">
        <f t="shared" si="107"/>
        <v>Up</v>
      </c>
    </row>
    <row r="499" spans="1:43" x14ac:dyDescent="0.2">
      <c r="A499" s="226" t="s">
        <v>365</v>
      </c>
      <c r="B499" s="9" t="s">
        <v>495</v>
      </c>
      <c r="C499" s="9" t="s">
        <v>495</v>
      </c>
      <c r="D499" s="9">
        <v>0</v>
      </c>
      <c r="E499" s="9"/>
      <c r="F499" s="9" t="s">
        <v>495</v>
      </c>
      <c r="G499" s="83">
        <v>25385</v>
      </c>
      <c r="H499" s="83">
        <f t="shared" si="103"/>
        <v>29999.999999999996</v>
      </c>
      <c r="I499" s="133">
        <f t="shared" si="104"/>
        <v>1.1818</v>
      </c>
      <c r="J499" s="82">
        <v>2340</v>
      </c>
      <c r="K499" s="82">
        <v>2514.5</v>
      </c>
      <c r="L499" s="82">
        <v>2514.5500000000002</v>
      </c>
      <c r="M499" s="82">
        <v>2514.5500000000002</v>
      </c>
      <c r="N499" s="82">
        <v>2514.5500000000002</v>
      </c>
      <c r="O499" s="82">
        <v>2514.5500000000002</v>
      </c>
      <c r="P499" s="82">
        <v>2514.5500000000002</v>
      </c>
      <c r="Q499" s="82">
        <v>2514.5500000000002</v>
      </c>
      <c r="R499" s="82">
        <v>2514.5500000000002</v>
      </c>
      <c r="S499" s="23">
        <v>2514.5500000000002</v>
      </c>
      <c r="T499" s="23">
        <v>2514.5500000000002</v>
      </c>
      <c r="U499" s="23">
        <v>2514.5500000000002</v>
      </c>
      <c r="V499" s="79" t="s">
        <v>847</v>
      </c>
      <c r="W499" s="82">
        <f t="shared" si="105"/>
        <v>-4614.9999999999964</v>
      </c>
      <c r="Y499" s="4"/>
      <c r="Z499" s="4"/>
      <c r="AA499" s="82"/>
      <c r="AB499" s="82"/>
      <c r="AC499" s="82"/>
      <c r="AD499" s="23"/>
      <c r="AE499" s="7" t="s">
        <v>493</v>
      </c>
      <c r="AH499" s="23">
        <f>SUM('2021 Detail'!J481:U481)+SUM('2021 Detail'!AA481:AC481)</f>
        <v>28080</v>
      </c>
      <c r="AJ499" s="23">
        <f t="shared" si="106"/>
        <v>1919.9999999999964</v>
      </c>
      <c r="AL499" t="str">
        <f t="shared" si="107"/>
        <v>Up</v>
      </c>
      <c r="AQ499" s="23">
        <v>2340</v>
      </c>
    </row>
    <row r="500" spans="1:43" x14ac:dyDescent="0.2">
      <c r="A500" s="226" t="s">
        <v>366</v>
      </c>
      <c r="B500" s="9" t="s">
        <v>495</v>
      </c>
      <c r="C500" s="9">
        <v>0</v>
      </c>
      <c r="D500" s="9" t="s">
        <v>495</v>
      </c>
      <c r="E500" s="9"/>
      <c r="F500" s="9">
        <v>0</v>
      </c>
      <c r="G500" s="83">
        <v>148597</v>
      </c>
      <c r="H500" s="83">
        <f t="shared" si="103"/>
        <v>148597</v>
      </c>
      <c r="I500" s="133">
        <f t="shared" si="104"/>
        <v>1</v>
      </c>
      <c r="J500" s="82"/>
      <c r="K500" s="82">
        <v>15000</v>
      </c>
      <c r="L500" s="82">
        <v>15000</v>
      </c>
      <c r="M500" s="82"/>
      <c r="N500" s="82">
        <v>15000</v>
      </c>
      <c r="O500" s="82">
        <v>30000</v>
      </c>
      <c r="P500" s="82"/>
      <c r="Q500" s="82"/>
      <c r="R500" s="82">
        <v>30000</v>
      </c>
      <c r="S500" s="23">
        <v>15000</v>
      </c>
      <c r="T500" s="23">
        <v>15000</v>
      </c>
      <c r="U500" s="23">
        <v>13597</v>
      </c>
      <c r="V500" s="79" t="s">
        <v>848</v>
      </c>
      <c r="W500" s="82">
        <f t="shared" si="105"/>
        <v>0</v>
      </c>
      <c r="Y500" s="4"/>
      <c r="Z500" s="4"/>
      <c r="AA500" s="82"/>
      <c r="AB500" s="82"/>
      <c r="AC500" s="82"/>
      <c r="AD500" s="23"/>
      <c r="AE500" s="7" t="s">
        <v>487</v>
      </c>
      <c r="AH500" s="23">
        <f>SUM('2021 Detail'!J482:U482)+SUM('2021 Detail'!AA482:AC482)</f>
        <v>148596</v>
      </c>
      <c r="AJ500" s="23">
        <f t="shared" si="106"/>
        <v>1</v>
      </c>
      <c r="AL500" t="str">
        <f t="shared" si="107"/>
        <v>Up</v>
      </c>
      <c r="AQ500" s="23">
        <v>17996</v>
      </c>
    </row>
    <row r="501" spans="1:43" x14ac:dyDescent="0.2">
      <c r="A501" s="226" t="s">
        <v>367</v>
      </c>
      <c r="B501" s="9" t="s">
        <v>495</v>
      </c>
      <c r="C501" s="9" t="s">
        <v>495</v>
      </c>
      <c r="D501" s="9">
        <v>0</v>
      </c>
      <c r="E501" s="9"/>
      <c r="F501" s="9" t="s">
        <v>495</v>
      </c>
      <c r="G501" s="83">
        <v>28785</v>
      </c>
      <c r="H501" s="83">
        <f t="shared" si="103"/>
        <v>28785</v>
      </c>
      <c r="I501" s="133">
        <f t="shared" si="104"/>
        <v>1</v>
      </c>
      <c r="J501" s="82">
        <v>2398.75</v>
      </c>
      <c r="K501" s="82">
        <v>2398.75</v>
      </c>
      <c r="L501" s="82">
        <v>2398.75</v>
      </c>
      <c r="M501" s="82">
        <v>2398.75</v>
      </c>
      <c r="N501" s="82">
        <v>2398.75</v>
      </c>
      <c r="O501" s="82">
        <v>2398.75</v>
      </c>
      <c r="P501" s="82">
        <v>2398.75</v>
      </c>
      <c r="Q501" s="82">
        <v>2398.75</v>
      </c>
      <c r="R501" s="82">
        <v>2398.75</v>
      </c>
      <c r="S501" s="23">
        <v>2398.75</v>
      </c>
      <c r="T501" s="23">
        <v>2398.75</v>
      </c>
      <c r="U501" s="23">
        <v>2398.75</v>
      </c>
      <c r="V501" s="79" t="s">
        <v>849</v>
      </c>
      <c r="W501" s="82">
        <f t="shared" si="105"/>
        <v>0</v>
      </c>
      <c r="Y501" s="4"/>
      <c r="Z501" s="4"/>
      <c r="AA501" s="82"/>
      <c r="AB501" s="82"/>
      <c r="AC501" s="82"/>
      <c r="AD501" s="23"/>
      <c r="AE501" s="7" t="s">
        <v>494</v>
      </c>
      <c r="AH501" s="23">
        <f>SUM('2021 Detail'!J483:U483)+SUM('2021 Detail'!AA483:AC483)</f>
        <v>28785</v>
      </c>
      <c r="AJ501" s="23">
        <f t="shared" si="106"/>
        <v>0</v>
      </c>
      <c r="AL501" t="str">
        <f t="shared" si="107"/>
        <v>Same</v>
      </c>
      <c r="AQ501" s="23">
        <v>878.5</v>
      </c>
    </row>
    <row r="502" spans="1:43" x14ac:dyDescent="0.2">
      <c r="A502" s="226" t="s">
        <v>368</v>
      </c>
      <c r="B502" s="9">
        <v>0</v>
      </c>
      <c r="C502" s="9" t="s">
        <v>495</v>
      </c>
      <c r="D502" s="9" t="s">
        <v>495</v>
      </c>
      <c r="E502" s="9"/>
      <c r="F502" s="9" t="s">
        <v>495</v>
      </c>
      <c r="G502" s="83">
        <v>12816</v>
      </c>
      <c r="H502" s="83">
        <f t="shared" si="103"/>
        <v>12816</v>
      </c>
      <c r="I502" s="133">
        <f t="shared" si="104"/>
        <v>1</v>
      </c>
      <c r="J502" s="82">
        <v>1068</v>
      </c>
      <c r="K502" s="82">
        <v>1068</v>
      </c>
      <c r="L502" s="82">
        <v>1068</v>
      </c>
      <c r="M502" s="82">
        <v>1068</v>
      </c>
      <c r="N502" s="82">
        <v>1068</v>
      </c>
      <c r="O502" s="82">
        <v>1068</v>
      </c>
      <c r="P502" s="82">
        <v>1068</v>
      </c>
      <c r="Q502" s="82">
        <v>1068</v>
      </c>
      <c r="R502" s="82">
        <v>1068</v>
      </c>
      <c r="S502" s="23">
        <v>1068</v>
      </c>
      <c r="T502" s="23">
        <v>1068</v>
      </c>
      <c r="U502" s="23">
        <v>1068</v>
      </c>
      <c r="V502" s="79" t="s">
        <v>850</v>
      </c>
      <c r="W502" s="82">
        <f t="shared" si="105"/>
        <v>0</v>
      </c>
      <c r="Y502" s="4"/>
      <c r="Z502" s="4"/>
      <c r="AA502" s="82"/>
      <c r="AB502" s="82"/>
      <c r="AC502" s="82"/>
      <c r="AD502" s="23"/>
      <c r="AE502" s="7" t="s">
        <v>494</v>
      </c>
      <c r="AH502" s="23">
        <f>SUM('2021 Detail'!J484:U484)+SUM('2021 Detail'!AA484:AC484)</f>
        <v>12816</v>
      </c>
      <c r="AJ502" s="23">
        <f t="shared" si="106"/>
        <v>0</v>
      </c>
      <c r="AL502" t="str">
        <f t="shared" si="107"/>
        <v>Same</v>
      </c>
      <c r="AQ502" s="23">
        <v>1068</v>
      </c>
    </row>
    <row r="503" spans="1:43" x14ac:dyDescent="0.2">
      <c r="A503" s="226" t="s">
        <v>369</v>
      </c>
      <c r="B503" s="9">
        <v>0</v>
      </c>
      <c r="C503" s="9" t="s">
        <v>495</v>
      </c>
      <c r="D503" s="9">
        <v>0</v>
      </c>
      <c r="E503" s="9"/>
      <c r="F503" s="9">
        <v>0</v>
      </c>
      <c r="G503" s="83">
        <v>6078</v>
      </c>
      <c r="H503" s="83">
        <f t="shared" si="103"/>
        <v>6078</v>
      </c>
      <c r="I503" s="133">
        <f t="shared" si="104"/>
        <v>1</v>
      </c>
      <c r="J503" s="82">
        <v>506.5</v>
      </c>
      <c r="K503" s="82">
        <v>506.5</v>
      </c>
      <c r="L503" s="82">
        <v>506.5</v>
      </c>
      <c r="M503" s="82">
        <v>506.5</v>
      </c>
      <c r="N503" s="82">
        <v>506.5</v>
      </c>
      <c r="O503" s="82">
        <v>506.5</v>
      </c>
      <c r="P503" s="82">
        <v>506.5</v>
      </c>
      <c r="Q503" s="82">
        <v>506.5</v>
      </c>
      <c r="R503" s="82">
        <v>506.5</v>
      </c>
      <c r="S503" s="23">
        <v>506.5</v>
      </c>
      <c r="T503" s="23">
        <v>506.5</v>
      </c>
      <c r="U503" s="23">
        <v>506.5</v>
      </c>
      <c r="V503" s="79" t="s">
        <v>851</v>
      </c>
      <c r="W503" s="82">
        <f t="shared" si="105"/>
        <v>0</v>
      </c>
      <c r="Y503" s="4"/>
      <c r="Z503" s="4"/>
      <c r="AA503" s="82"/>
      <c r="AB503" s="82"/>
      <c r="AC503" s="82"/>
      <c r="AD503" s="23"/>
      <c r="AE503" s="7" t="s">
        <v>494</v>
      </c>
      <c r="AH503" s="23">
        <f>SUM('2021 Detail'!J485:U485)+SUM('2021 Detail'!AA485:AC485)</f>
        <v>6078</v>
      </c>
      <c r="AJ503" s="23">
        <f t="shared" si="106"/>
        <v>0</v>
      </c>
      <c r="AL503" t="str">
        <f t="shared" si="107"/>
        <v>Same</v>
      </c>
      <c r="AQ503" s="23">
        <v>1828</v>
      </c>
    </row>
    <row r="504" spans="1:43" x14ac:dyDescent="0.2">
      <c r="A504" s="226" t="s">
        <v>370</v>
      </c>
      <c r="B504" s="9" t="s">
        <v>495</v>
      </c>
      <c r="C504" s="9" t="s">
        <v>495</v>
      </c>
      <c r="D504" s="9" t="s">
        <v>495</v>
      </c>
      <c r="E504" s="9"/>
      <c r="F504" s="9">
        <v>0</v>
      </c>
      <c r="G504" s="83">
        <v>25549</v>
      </c>
      <c r="H504" s="83">
        <f t="shared" si="103"/>
        <v>25549</v>
      </c>
      <c r="I504" s="133">
        <f t="shared" si="104"/>
        <v>1</v>
      </c>
      <c r="J504" s="82">
        <v>3549</v>
      </c>
      <c r="K504" s="82">
        <v>2000</v>
      </c>
      <c r="L504" s="82"/>
      <c r="M504" s="82">
        <v>2000</v>
      </c>
      <c r="N504" s="82"/>
      <c r="O504" s="82"/>
      <c r="P504" s="82"/>
      <c r="Q504" s="82"/>
      <c r="R504" s="82">
        <v>14000</v>
      </c>
      <c r="S504" s="23"/>
      <c r="T504" s="23">
        <v>2000</v>
      </c>
      <c r="U504" s="23">
        <v>2000</v>
      </c>
      <c r="V504" s="79" t="s">
        <v>852</v>
      </c>
      <c r="W504" s="82">
        <f t="shared" si="105"/>
        <v>0</v>
      </c>
      <c r="Y504" s="4"/>
      <c r="Z504" s="4"/>
      <c r="AA504" s="82"/>
      <c r="AB504" s="82"/>
      <c r="AC504" s="82"/>
      <c r="AD504" s="23"/>
      <c r="AE504" s="7" t="s">
        <v>488</v>
      </c>
      <c r="AH504" s="23">
        <f>SUM('2021 Detail'!J486:U486)+SUM('2021 Detail'!AA486:AC486)</f>
        <v>17899</v>
      </c>
      <c r="AJ504" s="23">
        <f t="shared" si="106"/>
        <v>7650</v>
      </c>
      <c r="AL504" t="str">
        <f t="shared" si="107"/>
        <v>Up</v>
      </c>
      <c r="AQ504" s="23">
        <v>2350</v>
      </c>
    </row>
    <row r="505" spans="1:43" x14ac:dyDescent="0.2">
      <c r="A505" s="226" t="s">
        <v>371</v>
      </c>
      <c r="B505" s="9">
        <v>0</v>
      </c>
      <c r="C505" s="9">
        <v>0</v>
      </c>
      <c r="D505" s="9">
        <v>0</v>
      </c>
      <c r="E505" s="9"/>
      <c r="F505" s="9" t="s">
        <v>638</v>
      </c>
      <c r="G505" s="83">
        <v>0</v>
      </c>
      <c r="H505" s="83">
        <f t="shared" si="103"/>
        <v>0</v>
      </c>
      <c r="I505" s="133">
        <v>0</v>
      </c>
      <c r="J505" s="82">
        <v>0</v>
      </c>
      <c r="K505" s="82"/>
      <c r="L505" s="82"/>
      <c r="M505" s="82"/>
      <c r="N505" s="82"/>
      <c r="O505" s="82"/>
      <c r="P505" s="82"/>
      <c r="Q505" s="82"/>
      <c r="R505" s="82"/>
      <c r="S505" s="23"/>
      <c r="T505" s="23"/>
      <c r="U505" s="23"/>
      <c r="V505" s="79" t="s">
        <v>853</v>
      </c>
      <c r="W505" s="82">
        <f t="shared" si="105"/>
        <v>0</v>
      </c>
      <c r="Y505" s="4"/>
      <c r="Z505" s="4"/>
      <c r="AA505" s="82"/>
      <c r="AB505" s="82"/>
      <c r="AC505" s="82"/>
      <c r="AD505" s="23"/>
      <c r="AE505" s="7" t="s">
        <v>485</v>
      </c>
      <c r="AH505" s="23">
        <f>SUM('2021 Detail'!J487:U487)+SUM('2021 Detail'!AA487:AC487)</f>
        <v>17553</v>
      </c>
      <c r="AJ505" s="23">
        <f t="shared" si="106"/>
        <v>-17553</v>
      </c>
      <c r="AL505" t="str">
        <f t="shared" si="107"/>
        <v>Down</v>
      </c>
    </row>
    <row r="506" spans="1:43" x14ac:dyDescent="0.2">
      <c r="B506" s="9"/>
      <c r="C506" s="9"/>
      <c r="E506" s="9"/>
      <c r="F506" s="9"/>
      <c r="I506" s="133"/>
      <c r="Y506" s="4"/>
      <c r="Z506" s="4"/>
      <c r="AA506" s="82"/>
      <c r="AB506" s="82"/>
      <c r="AC506" s="82"/>
      <c r="AD506" s="23"/>
      <c r="AJ506" s="23"/>
    </row>
    <row r="507" spans="1:43" x14ac:dyDescent="0.2">
      <c r="A507" s="226" t="s">
        <v>1142</v>
      </c>
      <c r="B507" s="9"/>
      <c r="C507" s="9"/>
      <c r="E507" s="9"/>
      <c r="F507" s="9"/>
      <c r="G507" s="83">
        <f>SUM(G479:G506)</f>
        <v>932405</v>
      </c>
      <c r="H507" s="83">
        <f>SUM(H479:H506)</f>
        <v>844892.28</v>
      </c>
      <c r="I507" s="133">
        <f t="shared" ref="I507:I508" si="108">ROUND((H507/G507),4)</f>
        <v>0.90610000000000002</v>
      </c>
      <c r="J507" s="83">
        <f t="shared" ref="J507:U507" si="109">SUM(J479:J506)</f>
        <v>74378.11</v>
      </c>
      <c r="K507" s="83">
        <f t="shared" si="109"/>
        <v>59427.49</v>
      </c>
      <c r="L507" s="83">
        <f t="shared" si="109"/>
        <v>79148.13</v>
      </c>
      <c r="M507" s="83">
        <f t="shared" si="109"/>
        <v>41107.130000000005</v>
      </c>
      <c r="N507" s="83">
        <f t="shared" si="109"/>
        <v>80709.540000000008</v>
      </c>
      <c r="O507" s="83">
        <f t="shared" si="109"/>
        <v>96351.46</v>
      </c>
      <c r="P507" s="83">
        <f t="shared" si="109"/>
        <v>48192.540000000008</v>
      </c>
      <c r="Q507" s="83">
        <f t="shared" si="109"/>
        <v>52015.540000000008</v>
      </c>
      <c r="R507" s="83">
        <f t="shared" si="109"/>
        <v>88209.540000000008</v>
      </c>
      <c r="S507" s="4">
        <f t="shared" si="109"/>
        <v>77265.540000000008</v>
      </c>
      <c r="T507" s="4">
        <f t="shared" si="109"/>
        <v>80407.13</v>
      </c>
      <c r="U507" s="4">
        <f t="shared" si="109"/>
        <v>61180.130000000005</v>
      </c>
      <c r="V507" s="77"/>
      <c r="W507" s="82">
        <f>SUM(W479:W506)</f>
        <v>87512.72</v>
      </c>
      <c r="Y507" s="4"/>
      <c r="Z507" s="4"/>
      <c r="AA507" s="83">
        <f>SUM(AA479:AA506)</f>
        <v>6500</v>
      </c>
      <c r="AB507" s="83">
        <f>SUM(AB479:AB506)</f>
        <v>0</v>
      </c>
      <c r="AC507" s="83">
        <f>SUM(AC479:AC506)</f>
        <v>0</v>
      </c>
      <c r="AD507" s="4"/>
      <c r="AH507" s="23">
        <f>SUM(AH479:AH506)</f>
        <v>832842.78</v>
      </c>
      <c r="AJ507" s="23">
        <f t="shared" si="106"/>
        <v>12049.5</v>
      </c>
      <c r="AM507" s="11">
        <f>SUM(J507:R507)+SUM(S508:U508)+SUM('2020 detail'!AA488:AC488)</f>
        <v>888680.20000000019</v>
      </c>
      <c r="AN507" s="24">
        <f>ROUND((AM507/G507),4)</f>
        <v>0.95309999999999995</v>
      </c>
      <c r="AO507" s="24">
        <f>ROUND((SUM(J508:U508)/G508),4)</f>
        <v>0.87609999999999999</v>
      </c>
      <c r="AQ507" s="23">
        <f>SUM(AQ479:AQ506)</f>
        <v>79136.240000000005</v>
      </c>
    </row>
    <row r="508" spans="1:43" x14ac:dyDescent="0.2">
      <c r="A508" s="253" t="s">
        <v>1056</v>
      </c>
      <c r="G508" s="206">
        <f>'2021 Detail'!G489</f>
        <v>932398</v>
      </c>
      <c r="H508" s="206">
        <f>SUM(J508:U508)+SUM(AA508:AC508)</f>
        <v>832842.78</v>
      </c>
      <c r="I508" s="207">
        <f t="shared" si="108"/>
        <v>0.89319999999999999</v>
      </c>
      <c r="J508" s="206">
        <f>'2021 Detail'!J489</f>
        <v>38949.279999999999</v>
      </c>
      <c r="K508" s="206">
        <f>'2021 Detail'!K489</f>
        <v>47211.83</v>
      </c>
      <c r="L508" s="206">
        <f>'2021 Detail'!L489</f>
        <v>59849.83</v>
      </c>
      <c r="M508" s="206">
        <f>'2021 Detail'!M489</f>
        <v>63187.33</v>
      </c>
      <c r="N508" s="206">
        <f>'2021 Detail'!N489</f>
        <v>62849.83</v>
      </c>
      <c r="O508" s="206">
        <f>'2021 Detail'!O489</f>
        <v>61667.240000000005</v>
      </c>
      <c r="P508" s="206">
        <f>'2021 Detail'!P489</f>
        <v>121368.49</v>
      </c>
      <c r="Q508" s="206">
        <f>'2021 Detail'!Q489</f>
        <v>45064.24</v>
      </c>
      <c r="R508" s="206">
        <f>'2021 Detail'!R489</f>
        <v>47575.740000000005</v>
      </c>
      <c r="S508" s="206">
        <f>'2021 Detail'!S489</f>
        <v>87974.24</v>
      </c>
      <c r="T508" s="206">
        <f>'2021 Detail'!T489</f>
        <v>102030.24</v>
      </c>
      <c r="U508" s="206">
        <f>'2021 Detail'!U489</f>
        <v>79136.240000000005</v>
      </c>
      <c r="V508" s="206"/>
      <c r="W508" s="206"/>
      <c r="X508" s="206"/>
      <c r="Y508" s="4"/>
      <c r="Z508" s="4"/>
      <c r="AA508" s="206">
        <f>'2021 Detail'!AA489</f>
        <v>15378.25</v>
      </c>
      <c r="AB508" s="206">
        <f>'2021 Detail'!AB489</f>
        <v>600</v>
      </c>
      <c r="AC508" s="206">
        <f>'2021 Detail'!AC489</f>
        <v>0</v>
      </c>
    </row>
    <row r="509" spans="1:43" x14ac:dyDescent="0.2">
      <c r="I509" s="133"/>
      <c r="Y509" s="4"/>
      <c r="Z509" s="4"/>
      <c r="AJ509" s="23"/>
    </row>
    <row r="510" spans="1:43" x14ac:dyDescent="0.2">
      <c r="A510" s="226" t="s">
        <v>1150</v>
      </c>
      <c r="G510" s="83">
        <f>G40+G84+G122+G162+G218+G263+G300+G328+G359+G406+G467+G507</f>
        <v>8116012</v>
      </c>
      <c r="H510" s="83">
        <f>H40+H84+H122+H162+H218+H263+H300+H328+H359+H406+H467+H507</f>
        <v>6559276.3399999999</v>
      </c>
      <c r="I510" s="133">
        <f t="shared" si="104"/>
        <v>0.80820000000000003</v>
      </c>
      <c r="J510" s="83">
        <f t="shared" ref="J510:U510" si="110">J40+J84+J122+J162+J218+J263+J300+J328+J359+J406+J467+J507</f>
        <v>378351.23</v>
      </c>
      <c r="K510" s="83">
        <f t="shared" si="110"/>
        <v>449442.02</v>
      </c>
      <c r="L510" s="83">
        <f t="shared" si="110"/>
        <v>517036.34</v>
      </c>
      <c r="M510" s="83">
        <f t="shared" si="110"/>
        <v>434875.54000000004</v>
      </c>
      <c r="N510" s="83">
        <f t="shared" si="110"/>
        <v>497786.23</v>
      </c>
      <c r="O510" s="83">
        <f t="shared" si="110"/>
        <v>599586.94000000006</v>
      </c>
      <c r="P510" s="83">
        <f t="shared" si="110"/>
        <v>498701.35</v>
      </c>
      <c r="Q510" s="83">
        <f t="shared" si="110"/>
        <v>538018.41999999993</v>
      </c>
      <c r="R510" s="83">
        <f t="shared" si="110"/>
        <v>551902.79</v>
      </c>
      <c r="S510" s="4">
        <f t="shared" si="110"/>
        <v>564217.18000000005</v>
      </c>
      <c r="T510" s="4">
        <f t="shared" si="110"/>
        <v>645999.05000000005</v>
      </c>
      <c r="U510" s="4">
        <f t="shared" si="110"/>
        <v>736614.44</v>
      </c>
      <c r="V510" s="80"/>
      <c r="W510" s="82">
        <f>W40+W84+W122+W162+W218+W263+W300+W328+W359+W406+W467+W507</f>
        <v>1556735.6599999997</v>
      </c>
      <c r="Y510" s="4"/>
      <c r="Z510" s="4"/>
      <c r="AA510" s="83">
        <f t="shared" ref="AA510:AC511" si="111">AA40+AA84+AA122+AA162+AA218+AA263+AA300+AA328+AA359+AA406+AA467+AA507</f>
        <v>98466.81</v>
      </c>
      <c r="AB510" s="83">
        <f t="shared" si="111"/>
        <v>48278</v>
      </c>
      <c r="AC510" s="83">
        <f t="shared" si="111"/>
        <v>0</v>
      </c>
      <c r="AD510" s="11"/>
      <c r="AH510" s="23">
        <f>AH40+AH84+AH122+AH162+AH218+AH263+AH300+AH328+AH359+AH406+AH467+AH507</f>
        <v>6587993.7699999996</v>
      </c>
      <c r="AJ510" s="23">
        <f t="shared" si="106"/>
        <v>-28717.429999999702</v>
      </c>
      <c r="AM510" s="23">
        <f>AM40+AM84+AM122+AM162+AM218+AM263+AM300+AM328+AM359+AM406+AM467+AM507</f>
        <v>6541218.2799999993</v>
      </c>
      <c r="AN510" s="24">
        <f>ROUND((AM510/G510),4)</f>
        <v>0.80600000000000005</v>
      </c>
      <c r="AO510" s="24">
        <f>ROUND((SUM(J511:U511)/G511),4)</f>
        <v>0.7923</v>
      </c>
      <c r="AQ510" s="23">
        <f>AQ40+AQ84+AQ122+AQ162+AQ218+AQ263+AQ300+AQ328+AQ359+AQ406+AQ467+AQ507</f>
        <v>906986.78</v>
      </c>
    </row>
    <row r="511" spans="1:43" x14ac:dyDescent="0.2">
      <c r="A511" s="253" t="s">
        <v>1151</v>
      </c>
      <c r="G511" s="206">
        <f>G41+G85+G123+G163+G219+G264+G301+G329+G360+G407+G468+G508</f>
        <v>8132853</v>
      </c>
      <c r="H511" s="206">
        <f>H41+H85+H123+H163+H219+H264+H301+H329+H360+H407+H468+H508</f>
        <v>6587993.7700000005</v>
      </c>
      <c r="I511" s="207">
        <f>ROUND((H511/G511),4)</f>
        <v>0.81</v>
      </c>
      <c r="J511" s="206">
        <f t="shared" ref="J511:U511" si="112">J41+J85+J123+J163+J219+J264+J301+J329+J360+J407+J468+J508</f>
        <v>340336.86</v>
      </c>
      <c r="K511" s="206">
        <f t="shared" si="112"/>
        <v>407387.73</v>
      </c>
      <c r="L511" s="206">
        <f t="shared" si="112"/>
        <v>497955.59</v>
      </c>
      <c r="M511" s="206">
        <f t="shared" si="112"/>
        <v>513800.89999999997</v>
      </c>
      <c r="N511" s="206">
        <f t="shared" si="112"/>
        <v>483760.16000000003</v>
      </c>
      <c r="O511" s="206">
        <f t="shared" si="112"/>
        <v>527451.71000000008</v>
      </c>
      <c r="P511" s="206">
        <f t="shared" si="112"/>
        <v>582882.6100000001</v>
      </c>
      <c r="Q511" s="206">
        <f t="shared" si="112"/>
        <v>489302.35</v>
      </c>
      <c r="R511" s="206">
        <f t="shared" si="112"/>
        <v>548459.72</v>
      </c>
      <c r="S511" s="206">
        <f t="shared" si="112"/>
        <v>527708.16999999993</v>
      </c>
      <c r="T511" s="206">
        <f t="shared" si="112"/>
        <v>616975.80999999994</v>
      </c>
      <c r="U511" s="206">
        <f t="shared" si="112"/>
        <v>907302.59</v>
      </c>
      <c r="V511" s="206"/>
      <c r="W511" s="206"/>
      <c r="X511" s="206"/>
      <c r="Y511" s="4"/>
      <c r="Z511" s="4"/>
      <c r="AA511" s="206">
        <f t="shared" si="111"/>
        <v>110801.09</v>
      </c>
      <c r="AB511" s="206">
        <f t="shared" si="111"/>
        <v>33868.480000000003</v>
      </c>
      <c r="AC511" s="206">
        <f t="shared" si="111"/>
        <v>0</v>
      </c>
      <c r="AM511">
        <f>ROUND((AM510*1.07),2)</f>
        <v>6999103.5599999996</v>
      </c>
    </row>
    <row r="512" spans="1:43" x14ac:dyDescent="0.2">
      <c r="Y512" s="4"/>
      <c r="Z512" s="4"/>
    </row>
    <row r="513" spans="1:43" ht="16.5" x14ac:dyDescent="0.25">
      <c r="B513" s="8"/>
      <c r="C513" s="8"/>
      <c r="E513" s="8"/>
      <c r="F513" s="8"/>
      <c r="G513" s="213" t="s">
        <v>1148</v>
      </c>
      <c r="H513" s="83">
        <f>G510-H510</f>
        <v>1556735.6600000001</v>
      </c>
      <c r="J513" s="83">
        <f>J510</f>
        <v>378351.23</v>
      </c>
      <c r="K513" s="15">
        <f>J513+K510</f>
        <v>827793.25</v>
      </c>
      <c r="L513" s="15">
        <f t="shared" ref="L513:Q513" si="113">K513+L510</f>
        <v>1344829.59</v>
      </c>
      <c r="M513" s="15">
        <f t="shared" si="113"/>
        <v>1779705.1300000001</v>
      </c>
      <c r="N513" s="15">
        <f t="shared" si="113"/>
        <v>2277491.3600000003</v>
      </c>
      <c r="O513" s="15">
        <f t="shared" si="113"/>
        <v>2877078.3000000003</v>
      </c>
      <c r="P513" s="15">
        <f t="shared" si="113"/>
        <v>3375779.6500000004</v>
      </c>
      <c r="Q513" s="15">
        <f t="shared" si="113"/>
        <v>3913798.0700000003</v>
      </c>
      <c r="R513" s="15">
        <f t="shared" ref="R513" si="114">Q513+R510</f>
        <v>4465700.8600000003</v>
      </c>
      <c r="S513" s="15">
        <f t="shared" ref="S513:U513" si="115">R513+S510</f>
        <v>5029918.04</v>
      </c>
      <c r="T513" s="15">
        <f t="shared" si="115"/>
        <v>5675917.0899999999</v>
      </c>
      <c r="U513" s="15">
        <f t="shared" si="115"/>
        <v>6412531.5299999993</v>
      </c>
      <c r="Y513" s="4"/>
      <c r="Z513" s="4"/>
      <c r="AA513" s="15"/>
      <c r="AM513" s="23">
        <f>AM510-G510</f>
        <v>-1574793.7200000007</v>
      </c>
    </row>
    <row r="514" spans="1:43" x14ac:dyDescent="0.2">
      <c r="G514" s="214" t="s">
        <v>1060</v>
      </c>
      <c r="H514" s="83">
        <f>G511-H511</f>
        <v>1544859.2299999995</v>
      </c>
      <c r="J514" s="15"/>
      <c r="Y514" s="4"/>
      <c r="Z514" s="4"/>
      <c r="AK514" s="255" t="s">
        <v>1068</v>
      </c>
      <c r="AL514">
        <f>COUNTIF($AL$8:$AL$505,"Up")</f>
        <v>132</v>
      </c>
    </row>
    <row r="515" spans="1:43" ht="16.5" x14ac:dyDescent="0.25">
      <c r="A515" s="254"/>
      <c r="B515" s="8"/>
      <c r="C515" s="8"/>
      <c r="E515" s="8"/>
      <c r="F515" s="8"/>
      <c r="G515" s="199"/>
      <c r="I515" s="144"/>
      <c r="J515" s="82">
        <f>H513-3083554.96</f>
        <v>-1526819.2999999998</v>
      </c>
      <c r="K515" s="173"/>
      <c r="L515" s="173"/>
      <c r="M515" s="173"/>
      <c r="N515" s="173"/>
      <c r="O515" s="173"/>
      <c r="P515" s="173"/>
      <c r="Q515" s="173"/>
      <c r="R515" s="173"/>
      <c r="S515" s="2"/>
      <c r="T515" s="2"/>
      <c r="U515" s="2"/>
      <c r="Y515" s="4"/>
      <c r="Z515" s="4"/>
      <c r="AK515" s="255" t="s">
        <v>1069</v>
      </c>
      <c r="AL515">
        <f>COUNTIF($AL$8:$AL$505,"Down")</f>
        <v>99</v>
      </c>
    </row>
    <row r="516" spans="1:43" s="141" customFormat="1" ht="16.5" x14ac:dyDescent="0.25">
      <c r="A516" s="261"/>
      <c r="B516" s="262"/>
      <c r="C516" s="262"/>
      <c r="D516" s="263"/>
      <c r="E516" s="262"/>
      <c r="F516" s="262"/>
      <c r="G516" s="264"/>
      <c r="H516" s="264"/>
      <c r="I516" s="265"/>
      <c r="J516" s="264"/>
      <c r="K516" s="264"/>
      <c r="L516" s="264"/>
      <c r="M516" s="264"/>
      <c r="N516" s="264"/>
      <c r="O516" s="264"/>
      <c r="P516" s="264"/>
      <c r="Q516" s="264"/>
      <c r="R516" s="217"/>
      <c r="S516" s="142"/>
      <c r="T516" s="142"/>
      <c r="U516" s="142"/>
      <c r="V516" s="215"/>
      <c r="W516" s="218"/>
      <c r="X516" s="215"/>
      <c r="Y516" s="4"/>
      <c r="Z516" s="4"/>
      <c r="AA516" s="144"/>
      <c r="AB516" s="144"/>
      <c r="AC516" s="144"/>
      <c r="AE516" s="215"/>
      <c r="AK516" s="256" t="s">
        <v>1070</v>
      </c>
      <c r="AL516" s="141">
        <f>COUNTIF($AL$8:$AL$505,"Same")</f>
        <v>123</v>
      </c>
      <c r="AQ516" s="23"/>
    </row>
    <row r="517" spans="1:43" s="141" customFormat="1" ht="16.5" x14ac:dyDescent="0.25">
      <c r="A517" s="261"/>
      <c r="B517" s="262"/>
      <c r="C517" s="262"/>
      <c r="D517" s="263"/>
      <c r="E517" s="262"/>
      <c r="F517" s="262"/>
      <c r="G517" s="264"/>
      <c r="H517" s="264"/>
      <c r="I517" s="265"/>
      <c r="J517" s="264"/>
      <c r="K517" s="264"/>
      <c r="L517" s="264"/>
      <c r="M517" s="264"/>
      <c r="N517" s="264"/>
      <c r="O517" s="264"/>
      <c r="P517" s="264"/>
      <c r="Q517" s="264"/>
      <c r="R517" s="217"/>
      <c r="S517" s="142"/>
      <c r="T517" s="142"/>
      <c r="U517" s="142"/>
      <c r="V517" s="215"/>
      <c r="W517" s="218"/>
      <c r="X517" s="215"/>
      <c r="Y517" s="4"/>
      <c r="Z517" s="4"/>
      <c r="AA517" s="144"/>
      <c r="AB517" s="144"/>
      <c r="AC517" s="144"/>
      <c r="AE517" s="215"/>
      <c r="AQ517" s="23"/>
    </row>
    <row r="518" spans="1:43" s="144" customFormat="1" x14ac:dyDescent="0.2">
      <c r="A518" s="300">
        <v>2022</v>
      </c>
      <c r="B518" s="267"/>
      <c r="C518" s="267"/>
      <c r="D518" s="268"/>
      <c r="E518" s="267"/>
      <c r="F518" s="267"/>
      <c r="G518" s="267" t="s">
        <v>1097</v>
      </c>
      <c r="H518" s="285" t="s">
        <v>1098</v>
      </c>
      <c r="I518" s="285">
        <v>1</v>
      </c>
      <c r="J518" s="267" t="s">
        <v>1099</v>
      </c>
      <c r="K518" s="267" t="s">
        <v>1100</v>
      </c>
      <c r="L518" s="267" t="s">
        <v>1101</v>
      </c>
      <c r="M518" s="267" t="s">
        <v>1102</v>
      </c>
      <c r="N518" s="267" t="s">
        <v>1103</v>
      </c>
      <c r="O518" s="267" t="s">
        <v>1104</v>
      </c>
      <c r="P518" s="267" t="s">
        <v>1105</v>
      </c>
      <c r="Q518" s="267" t="s">
        <v>1106</v>
      </c>
      <c r="R518" s="302" t="s">
        <v>1107</v>
      </c>
      <c r="S518" s="302" t="s">
        <v>1108</v>
      </c>
      <c r="T518" s="303">
        <v>0</v>
      </c>
      <c r="U518" s="302" t="s">
        <v>1109</v>
      </c>
      <c r="V518" s="218"/>
      <c r="W518" s="237" t="s">
        <v>1211</v>
      </c>
      <c r="X518" s="218"/>
      <c r="Y518" s="4"/>
      <c r="Z518" s="4"/>
      <c r="AE518" s="218"/>
      <c r="AQ518" s="82"/>
    </row>
    <row r="519" spans="1:43" s="144" customFormat="1" x14ac:dyDescent="0.2">
      <c r="A519" s="301"/>
      <c r="B519" s="267"/>
      <c r="C519" s="267"/>
      <c r="D519" s="268"/>
      <c r="E519" s="267"/>
      <c r="F519" s="267"/>
      <c r="G519" s="267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302"/>
      <c r="S519" s="302"/>
      <c r="T519" s="304"/>
      <c r="U519" s="302"/>
      <c r="V519" s="218"/>
      <c r="X519" s="218"/>
      <c r="Y519" s="4"/>
      <c r="Z519" s="4"/>
      <c r="AE519" s="218"/>
      <c r="AL519" s="144">
        <f>SUM(AL514:AL518)</f>
        <v>354</v>
      </c>
      <c r="AQ519" s="82"/>
    </row>
    <row r="520" spans="1:43" s="144" customFormat="1" x14ac:dyDescent="0.2">
      <c r="A520" s="224" t="s">
        <v>1213</v>
      </c>
      <c r="B520" s="267"/>
      <c r="C520" s="267"/>
      <c r="D520" s="268"/>
      <c r="E520" s="267"/>
      <c r="F520" s="267"/>
      <c r="G520" s="270">
        <f>COUNTA($H$8:$H$38)-U520</f>
        <v>31</v>
      </c>
      <c r="H520" s="270">
        <f>COUNTIFS($I$8:$I$38,"&gt;1")</f>
        <v>1</v>
      </c>
      <c r="I520" s="270">
        <f>COUNTIFS($I$8:$I$38,"1")</f>
        <v>12</v>
      </c>
      <c r="J520" s="270">
        <f>COUNTIFS($I$8:$I$38,"&gt;=.9")-H520-I520</f>
        <v>4</v>
      </c>
      <c r="K520" s="270">
        <f>COUNTIFS($I$8:$I$38,"&gt;=.8")-H520-I520-J520</f>
        <v>1</v>
      </c>
      <c r="L520" s="270">
        <f>COUNTIFS($I$8:$I$38,"&gt;=.7")-H520-I520-J520-K520</f>
        <v>3</v>
      </c>
      <c r="M520" s="270">
        <f>COUNTIFS($I$8:$I$38,"&gt;=.6")-H520-I520-J520-K520-L520</f>
        <v>5</v>
      </c>
      <c r="N520" s="270">
        <f>COUNTIFS($I$8:$I$38,"&gt;=.5")-H520-I520-J520-K520-L520-M520</f>
        <v>1</v>
      </c>
      <c r="O520" s="270">
        <f>COUNTIFS($I$8:$I$38,"&gt;=.4")-H520-I520-J520-K520-L520-M520-N520</f>
        <v>1</v>
      </c>
      <c r="P520" s="270">
        <f>COUNTIFS($I$8:$I$38,"&gt;=.3")-H520-I520-J520-K520-L520-M520-N520-O520</f>
        <v>2</v>
      </c>
      <c r="Q520" s="270">
        <f>COUNTIFS($I$8:$I$38,"&gt;=.2")-H520-I520-J520-K520-L520-M520-N520-O520-P520</f>
        <v>0</v>
      </c>
      <c r="R520" s="305">
        <f>COUNTIFS($I$8:$I$38,"&gt;=.1")-H520-I520-J520-K520-L520-M520-N520-O520-P520-Q520</f>
        <v>0</v>
      </c>
      <c r="S520" s="305">
        <f>COUNTIFS($I$8:$I$38,"&lt;=.1")</f>
        <v>1</v>
      </c>
      <c r="T520" s="305">
        <f>COUNTIFS($I$8:$I$38,"&lt;=0")</f>
        <v>0</v>
      </c>
      <c r="U520" s="305">
        <v>0</v>
      </c>
      <c r="V520" s="220"/>
      <c r="W520" s="220">
        <f>COUNTIFS($I$8:$I$38,"&gt;0.8082")</f>
        <v>18</v>
      </c>
      <c r="X520" s="218"/>
      <c r="Y520" s="4"/>
      <c r="Z520" s="4"/>
      <c r="AA520" s="144">
        <v>31</v>
      </c>
      <c r="AE520" s="218"/>
      <c r="AH520" s="144" t="s">
        <v>1206</v>
      </c>
      <c r="AQ520" s="82"/>
    </row>
    <row r="521" spans="1:43" s="144" customFormat="1" x14ac:dyDescent="0.2">
      <c r="A521" s="224" t="s">
        <v>862</v>
      </c>
      <c r="B521" s="267"/>
      <c r="C521" s="267"/>
      <c r="D521" s="268"/>
      <c r="E521" s="267"/>
      <c r="F521" s="267"/>
      <c r="G521" s="270">
        <f>COUNTA($H$52:$H$82)-U521</f>
        <v>31</v>
      </c>
      <c r="H521" s="270">
        <f>COUNTIFS($I$52:$I$82,"&gt;1")</f>
        <v>2</v>
      </c>
      <c r="I521" s="270">
        <f>COUNTIFS($I$52:$I$82,"1")</f>
        <v>17</v>
      </c>
      <c r="J521" s="270">
        <f>COUNTIFS($I$52:$I$82,"&gt;=.9")-H521-I521</f>
        <v>1</v>
      </c>
      <c r="K521" s="270">
        <f>COUNTIFS($I$52:$I$82,"&gt;=.8")-H521-I521-J521</f>
        <v>2</v>
      </c>
      <c r="L521" s="270">
        <f>COUNTIFS($I$52:$I$82,"&gt;=.7")-H521-I521-J521-K521</f>
        <v>1</v>
      </c>
      <c r="M521" s="270">
        <f>COUNTIFS($I$52:$I$82,"&gt;=.6")-H521-I521-J521-K521-L521</f>
        <v>2</v>
      </c>
      <c r="N521" s="270">
        <f>COUNTIFS($I$52:$I$82,"&gt;=.5")-H521-I521-J521-K521-L521-M521</f>
        <v>2</v>
      </c>
      <c r="O521" s="270">
        <f>COUNTIFS($I$52:$I$82,"&gt;=.4")-H521-I521-J521-K521-L521-M521-N521</f>
        <v>0</v>
      </c>
      <c r="P521" s="270">
        <f>COUNTIFS($I$52:$I$82,"&gt;=.3")-H521-I521-J521-K521-L521-M521-N521-O521</f>
        <v>3</v>
      </c>
      <c r="Q521" s="270">
        <f>COUNTIFS($I$52:$I$82,"&gt;=.2")-H521-I521-J521-K521-L521-M521-N521-O521-P521</f>
        <v>0</v>
      </c>
      <c r="R521" s="305">
        <f>COUNTIFS($I$52:$I$82,"&gt;=.1")-H521-I521-J521-K521-L521-M521-N521-O521-P521-Q521</f>
        <v>1</v>
      </c>
      <c r="S521" s="305">
        <f>COUNTIFS($I$52:$I$82,"&lt;.1")</f>
        <v>0</v>
      </c>
      <c r="T521" s="305">
        <f>COUNTIFS($I$52:$I$82,"&lt;=0")</f>
        <v>0</v>
      </c>
      <c r="U521" s="305">
        <v>0</v>
      </c>
      <c r="V521" s="220"/>
      <c r="W521" s="220">
        <f>COUNTIFS($I$52:$I$82,"&gt;0.8082")</f>
        <v>22</v>
      </c>
      <c r="X521" s="218"/>
      <c r="Y521" s="4"/>
      <c r="Z521" s="4"/>
      <c r="AA521" s="144">
        <v>31</v>
      </c>
      <c r="AE521" s="218"/>
      <c r="AQ521" s="82"/>
    </row>
    <row r="522" spans="1:43" s="144" customFormat="1" x14ac:dyDescent="0.2">
      <c r="A522" s="224" t="s">
        <v>863</v>
      </c>
      <c r="B522" s="267"/>
      <c r="C522" s="267"/>
      <c r="D522" s="268"/>
      <c r="E522" s="267"/>
      <c r="F522" s="267"/>
      <c r="G522" s="270">
        <f>COUNTA($H$96:$H$120)-U522</f>
        <v>25</v>
      </c>
      <c r="H522" s="270">
        <f>COUNTIFS($I$96:$I$120,"&gt;1")</f>
        <v>1</v>
      </c>
      <c r="I522" s="270">
        <f>COUNTIFS($I$96:$I$120,"1")</f>
        <v>15</v>
      </c>
      <c r="J522" s="270">
        <f>COUNTIFS($I$96:$I$120,"&gt;=.9")-H522-I522</f>
        <v>1</v>
      </c>
      <c r="K522" s="270">
        <f>COUNTIFS($I$96:$I$120,"&gt;=.8")-H522-I522-J522</f>
        <v>1</v>
      </c>
      <c r="L522" s="270">
        <f>COUNTIFS($I$96:$I$120,"&gt;=.7")-H522-I522-J522-K522</f>
        <v>2</v>
      </c>
      <c r="M522" s="270">
        <f>COUNTIFS($I$96:$I$120,"&gt;=.6")-H522-I522-J522-K522-L522</f>
        <v>1</v>
      </c>
      <c r="N522" s="270">
        <f>COUNTIFS($I$96:$I$120,"&gt;=.5")-H522-I522-J522-K522-L522-M522</f>
        <v>0</v>
      </c>
      <c r="O522" s="270">
        <f>COUNTIFS($I$96:$I$120,"&gt;=.4")-H522-I522-J522-K522-L522-M522-N522</f>
        <v>0</v>
      </c>
      <c r="P522" s="270">
        <f>COUNTIFS($I$96:$I$120,"&gt;=.3")-H522-I522-J522-K522-L522-M522-N522-O522</f>
        <v>1</v>
      </c>
      <c r="Q522" s="270">
        <f>COUNTIFS($I$96:$I$120,"&gt;=.2")-H522-I522-J522-K522-L522-M522-N522-O522-P522</f>
        <v>1</v>
      </c>
      <c r="R522" s="305">
        <f>COUNTIFS($I$96:$I$120,"&gt;=.1")-H522-I522-J522-K522-L522-M522-N522-O522-P522-Q522</f>
        <v>1</v>
      </c>
      <c r="S522" s="305">
        <f>COUNTIFS($I$96:$I$120,"&lt;.1")</f>
        <v>1</v>
      </c>
      <c r="T522" s="305">
        <f>COUNTIFS($I$96:$I$120,"&lt;=0")</f>
        <v>1</v>
      </c>
      <c r="U522" s="305">
        <v>0</v>
      </c>
      <c r="V522" s="220"/>
      <c r="W522" s="220">
        <f>COUNTIFS($I$96:$I$120,"&gt;0.8082")</f>
        <v>18</v>
      </c>
      <c r="X522" s="218"/>
      <c r="Y522" s="4"/>
      <c r="Z522" s="4"/>
      <c r="AA522" s="144">
        <v>25</v>
      </c>
      <c r="AE522" s="218"/>
      <c r="AQ522" s="82"/>
    </row>
    <row r="523" spans="1:43" s="144" customFormat="1" x14ac:dyDescent="0.2">
      <c r="A523" s="224" t="s">
        <v>864</v>
      </c>
      <c r="B523" s="267"/>
      <c r="C523" s="267"/>
      <c r="D523" s="268"/>
      <c r="E523" s="267"/>
      <c r="F523" s="267"/>
      <c r="G523" s="270">
        <f>COUNTA($H$134:$H$160)-U523</f>
        <v>27</v>
      </c>
      <c r="H523" s="270">
        <f>COUNTIFS($I$134:$I$160,"&gt;1")</f>
        <v>1</v>
      </c>
      <c r="I523" s="270">
        <f>COUNTIFS($I$134:$I$160,"1")</f>
        <v>5</v>
      </c>
      <c r="J523" s="270">
        <f>COUNTIFS($I$134:$I$160,"&gt;=.9")-H523-I523</f>
        <v>4</v>
      </c>
      <c r="K523" s="270">
        <f>COUNTIFS($I$134:$I$160,"&gt;=.8")-H523-I523-J523</f>
        <v>3</v>
      </c>
      <c r="L523" s="270">
        <f>COUNTIFS($I$134:$I$160,"&gt;=.7")-H523-I523-J523-K523</f>
        <v>0</v>
      </c>
      <c r="M523" s="270">
        <f>COUNTIFS($I$134:$I$160,"&gt;=.6")-H523-I523-J523-K523-L523</f>
        <v>2</v>
      </c>
      <c r="N523" s="270">
        <f>COUNTIFS($I$134:$I$160,"&gt;=.5")-H523-I523-J523-K523-L523-M523</f>
        <v>4</v>
      </c>
      <c r="O523" s="270">
        <f>COUNTIFS($I$134:$I$160,"&gt;=.4")-H523-I523-J523-K523-L523-M523-N523</f>
        <v>4</v>
      </c>
      <c r="P523" s="270">
        <f>COUNTIFS($I$134:$I$160,"&gt;=.3")-H523-I523-J523-K523-L523-M523-N523-O523</f>
        <v>1</v>
      </c>
      <c r="Q523" s="270">
        <f>COUNTIFS($I$134:$I$160,"&gt;=.2")-H523-I523-J523-K523-L523-M523-N523-O523-P523</f>
        <v>1</v>
      </c>
      <c r="R523" s="305">
        <f>COUNTIFS($I$134:$I$160,"&gt;=.1")-H523-I523-J523-K523-L523-M523-N523-O523-P523-Q523</f>
        <v>0</v>
      </c>
      <c r="S523" s="305">
        <f>COUNTIFS($I$134:$I$160,"&lt;.1")</f>
        <v>1</v>
      </c>
      <c r="T523" s="305">
        <f>COUNTIFS($I$134:$I$160,"&lt;=0")</f>
        <v>1</v>
      </c>
      <c r="U523" s="305">
        <v>0</v>
      </c>
      <c r="V523" s="220"/>
      <c r="W523" s="220">
        <f>COUNTIFS($I$134:$I$160,"&gt;0.8082")</f>
        <v>13</v>
      </c>
      <c r="X523" s="218"/>
      <c r="Y523" s="4"/>
      <c r="Z523" s="4"/>
      <c r="AA523" s="144">
        <v>27</v>
      </c>
      <c r="AE523" s="218"/>
      <c r="AH523" s="144" t="s">
        <v>1207</v>
      </c>
      <c r="AQ523" s="82"/>
    </row>
    <row r="524" spans="1:43" s="144" customFormat="1" x14ac:dyDescent="0.2">
      <c r="A524" s="224" t="s">
        <v>865</v>
      </c>
      <c r="B524" s="267"/>
      <c r="C524" s="267"/>
      <c r="D524" s="268"/>
      <c r="E524" s="267"/>
      <c r="F524" s="267"/>
      <c r="G524" s="270">
        <f>COUNTA($H$174:$H$216)-U524</f>
        <v>43</v>
      </c>
      <c r="H524" s="270">
        <f>COUNTIFS($I$174:$I$216,"&gt;1")</f>
        <v>0</v>
      </c>
      <c r="I524" s="270">
        <f>COUNTIFS($I$174:$I$216,"1")</f>
        <v>26</v>
      </c>
      <c r="J524" s="270">
        <f>COUNTIFS($I$174:$I$216,"&gt;=.9")-H524-I524</f>
        <v>1</v>
      </c>
      <c r="K524" s="270">
        <f>COUNTIFS($I$174:$I$216,"&gt;=.8")-H524-I524-J524</f>
        <v>1</v>
      </c>
      <c r="L524" s="270">
        <f>COUNTIFS($I$174:$I$216,"&gt;=.7")-H524-I524-J524-K524</f>
        <v>3</v>
      </c>
      <c r="M524" s="270">
        <f>COUNTIFS($I$174:$I$216,"&gt;=.6")-H524-I524-J524-K524-L524</f>
        <v>1</v>
      </c>
      <c r="N524" s="270">
        <f>COUNTIFS($I$174:$I$216,"&gt;=.5")-H524-I524-J524-K524-L524-M524</f>
        <v>2</v>
      </c>
      <c r="O524" s="270">
        <f>COUNTIFS($I$174:$I$216,"&gt;=.4")-H524-I524-J524-K524-L524-M524-N524</f>
        <v>1</v>
      </c>
      <c r="P524" s="270">
        <f>COUNTIFS($I$174:$I$216,"&gt;=.3")-H524-I524-J524-K524-L524-M524-N524-O524</f>
        <v>3</v>
      </c>
      <c r="Q524" s="270">
        <f>COUNTIFS($I$174:$I$216,"&gt;=.2")-H524-I524-J524-K524-L524-M524-N524-O524-P524</f>
        <v>0</v>
      </c>
      <c r="R524" s="305">
        <f>COUNTIFS($I$174:$I$216,"&gt;=.1")-H524-I524-J524-K524-L524-M524-N524-O524-P524-Q524</f>
        <v>1</v>
      </c>
      <c r="S524" s="305">
        <f>COUNTIFS($I$174:$I$216,"&lt;.1")</f>
        <v>4</v>
      </c>
      <c r="T524" s="305">
        <f>COUNTIFS($I$174:$I$216,"&lt;=0")</f>
        <v>1</v>
      </c>
      <c r="U524" s="305">
        <v>0</v>
      </c>
      <c r="V524" s="220"/>
      <c r="W524" s="220">
        <f>COUNTIFS($I$174:$I$216,"&gt;0.8082")</f>
        <v>28</v>
      </c>
      <c r="X524" s="218"/>
      <c r="Y524" s="4"/>
      <c r="Z524" s="4"/>
      <c r="AA524" s="144">
        <v>43</v>
      </c>
      <c r="AE524" s="218"/>
      <c r="AQ524" s="82"/>
    </row>
    <row r="525" spans="1:43" s="144" customFormat="1" x14ac:dyDescent="0.2">
      <c r="A525" s="224" t="s">
        <v>866</v>
      </c>
      <c r="B525" s="267"/>
      <c r="C525" s="267"/>
      <c r="D525" s="268"/>
      <c r="E525" s="267"/>
      <c r="F525" s="267"/>
      <c r="G525" s="270">
        <f>COUNTA($H$230:$H$261)-U525</f>
        <v>32</v>
      </c>
      <c r="H525" s="270">
        <f>COUNTIFS($I$230:$I$261,"&gt;1")</f>
        <v>0</v>
      </c>
      <c r="I525" s="270">
        <f>COUNTIFS($I$230:$I$261,"1")</f>
        <v>8</v>
      </c>
      <c r="J525" s="270">
        <f>COUNTIFS($I$230:$I$261,"&gt;=.9")-H525-I525</f>
        <v>3</v>
      </c>
      <c r="K525" s="270">
        <f>COUNTIFS($I$230:$I$261,"&gt;=.8")-H525-I525-J525</f>
        <v>4</v>
      </c>
      <c r="L525" s="270">
        <f>COUNTIFS($I$230:$I$261,"&gt;=.7")-H525-I525-J525-K525</f>
        <v>6</v>
      </c>
      <c r="M525" s="270">
        <f>COUNTIFS($I$230:$I$261,"&gt;=.6")-H525-I525-J525-K525-L525</f>
        <v>2</v>
      </c>
      <c r="N525" s="270">
        <f>COUNTIFS($I$230:$I$261,"&gt;=.5")-H525-I525-J525-K525-L525-M525</f>
        <v>0</v>
      </c>
      <c r="O525" s="270">
        <f>COUNTIFS($I$230:$I$261,"&gt;=.4")-H525-I525-J525-K525-L525-M525-N525</f>
        <v>1</v>
      </c>
      <c r="P525" s="270">
        <f>COUNTIFS($I$230:$I$261,"&gt;=.3")-H525-I525-J525-K525-L525-M525-N525-O525</f>
        <v>3</v>
      </c>
      <c r="Q525" s="270">
        <f>COUNTIFS($I$230:$I$261,"&gt;=.2")-H525-I525-J525-K525-L525-M525-N525-O525-P525</f>
        <v>2</v>
      </c>
      <c r="R525" s="305">
        <f>COUNTIFS($I$230:$I$261,"&gt;=.1")-H525-I525-J525-K525-L525-M525-N525-O525-P525-Q525</f>
        <v>2</v>
      </c>
      <c r="S525" s="305">
        <f>COUNTIFS($I$230:$I$261,"&lt;.1")</f>
        <v>1</v>
      </c>
      <c r="T525" s="305">
        <f>COUNTIFS($I$230:$I$261,"&lt;=0")</f>
        <v>0</v>
      </c>
      <c r="U525" s="305">
        <v>0</v>
      </c>
      <c r="V525" s="220"/>
      <c r="W525" s="220">
        <f>COUNTIFS($I$230:$I$261,"&gt;0.8082")</f>
        <v>14</v>
      </c>
      <c r="X525" s="218"/>
      <c r="Y525" s="4"/>
      <c r="Z525" s="4"/>
      <c r="AA525" s="144">
        <v>32</v>
      </c>
      <c r="AE525" s="218"/>
      <c r="AQ525" s="82"/>
    </row>
    <row r="526" spans="1:43" s="144" customFormat="1" x14ac:dyDescent="0.2">
      <c r="A526" s="224" t="s">
        <v>867</v>
      </c>
      <c r="B526" s="267"/>
      <c r="C526" s="267"/>
      <c r="D526" s="268"/>
      <c r="E526" s="267"/>
      <c r="F526" s="267"/>
      <c r="G526" s="270">
        <f>COUNTA($H$275:$H$298)-U526</f>
        <v>24</v>
      </c>
      <c r="H526" s="270">
        <f>COUNTIFS($I$275:$I$298,"&gt;1")</f>
        <v>1</v>
      </c>
      <c r="I526" s="270">
        <f>COUNTIFS($I$275:$I$298,"1")</f>
        <v>12</v>
      </c>
      <c r="J526" s="270">
        <f>COUNTIFS($I$275:$I$298,"&gt;=.9")-H526-I526</f>
        <v>0</v>
      </c>
      <c r="K526" s="270">
        <f>COUNTIFS($I$275:$I$298,"&gt;=.8")-H526-I526-J526</f>
        <v>1</v>
      </c>
      <c r="L526" s="270">
        <f>COUNTIFS($I$275:$I$298,"&gt;=.7")-H526-I526-J526-K526</f>
        <v>3</v>
      </c>
      <c r="M526" s="270">
        <f>COUNTIFS($I$275:$I$298,"&gt;=.6")-H526-I526-J526-K526-L526</f>
        <v>0</v>
      </c>
      <c r="N526" s="270">
        <f>COUNTIFS($I$275:$I$298,"&gt;=.5")-H526-I526-J526-K526-L526-M526</f>
        <v>2</v>
      </c>
      <c r="O526" s="270">
        <f>COUNTIFS($I$275:$I$298,"&gt;=.4")-H526-I526-J526-K526-L526-M526-N526</f>
        <v>2</v>
      </c>
      <c r="P526" s="270">
        <f>COUNTIFS($I$275:$I$298,"&gt;=.3")-H526-I526-J526-K526-L526-M526-N526-O526</f>
        <v>1</v>
      </c>
      <c r="Q526" s="270">
        <f>COUNTIFS($I$275:$I$298,"&gt;=.2")-H526-I526-J526-K526-L526-M526-N526-O526-P526</f>
        <v>0</v>
      </c>
      <c r="R526" s="305">
        <f>COUNTIFS($I$275:$I$298,"&gt;=.1")-H526-I526-J526-K526-L526-M526-N526-O526-P526-Q526</f>
        <v>0</v>
      </c>
      <c r="S526" s="305">
        <f>COUNTIFS($I$275:$I$298,"&lt;.1")</f>
        <v>2</v>
      </c>
      <c r="T526" s="305">
        <f>COUNTIFS($I$275:$I$298,"&lt;=0")</f>
        <v>2</v>
      </c>
      <c r="U526" s="305">
        <v>0</v>
      </c>
      <c r="V526" s="220"/>
      <c r="W526" s="220">
        <f>COUNTIFS($I$275:$I$298,"&gt;0.8082")</f>
        <v>14</v>
      </c>
      <c r="X526" s="218"/>
      <c r="Y526" s="4"/>
      <c r="Z526" s="4"/>
      <c r="AA526" s="144">
        <v>24</v>
      </c>
      <c r="AE526" s="218"/>
      <c r="AQ526" s="82"/>
    </row>
    <row r="527" spans="1:43" s="144" customFormat="1" x14ac:dyDescent="0.2">
      <c r="A527" s="224" t="s">
        <v>868</v>
      </c>
      <c r="B527" s="267"/>
      <c r="C527" s="267"/>
      <c r="D527" s="268"/>
      <c r="E527" s="267"/>
      <c r="F527" s="267"/>
      <c r="G527" s="270">
        <f>COUNTA($H$312:$H$326)-U527</f>
        <v>15</v>
      </c>
      <c r="H527" s="270">
        <f>COUNTIFS($I$312:$I$326,"&gt;1")</f>
        <v>1</v>
      </c>
      <c r="I527" s="270">
        <f>COUNTIFS($I$312:$I$326,"1")</f>
        <v>8</v>
      </c>
      <c r="J527" s="270">
        <f>COUNTIFS($I$312:$I$326,"&gt;=.9")-H527-I527</f>
        <v>0</v>
      </c>
      <c r="K527" s="270">
        <f>COUNTIFS($I$312:$I$326,"&gt;=.8")-H527-I527-J527</f>
        <v>1</v>
      </c>
      <c r="L527" s="270">
        <f>COUNTIFS($I$312:$I$326,"&gt;=.7")-H527-I527-J527-K527</f>
        <v>1</v>
      </c>
      <c r="M527" s="270">
        <f>COUNTIFS($I$312:$I$326,"&gt;=.6")-H527-I527-J527-K527-L527</f>
        <v>0</v>
      </c>
      <c r="N527" s="270">
        <f>COUNTIFS($I$312:$I$326,"&gt;=.5")-H527-I527-J527-K527-L527-M527</f>
        <v>0</v>
      </c>
      <c r="O527" s="270">
        <f>COUNTIFS($I$312:$I$326,"&gt;=.4")-H527-I527-J527-K527-L527-M527-N527</f>
        <v>3</v>
      </c>
      <c r="P527" s="270">
        <f>COUNTIFS($I$312:$I$326,"&gt;=.3")-H527-I527-J527-K527-L527-M527-N527-O527</f>
        <v>0</v>
      </c>
      <c r="Q527" s="270">
        <f>COUNTIFS($I$312:$I$326,"&gt;=.2")-H527-I527-J527-K527-L527-M527-N527-O527-P527</f>
        <v>0</v>
      </c>
      <c r="R527" s="305">
        <f>COUNTIFS($I$312:$I$326,"&gt;=.1")-H527-I527-J527-K527-L527-M527-N527-O527-P527-Q527</f>
        <v>1</v>
      </c>
      <c r="S527" s="305">
        <f>COUNTIFS($I$312:$I$326,"&lt;.1")</f>
        <v>0</v>
      </c>
      <c r="T527" s="305">
        <f>COUNTIFS($I$312:$I$326,"&lt;=0")</f>
        <v>0</v>
      </c>
      <c r="U527" s="305">
        <v>0</v>
      </c>
      <c r="V527" s="220"/>
      <c r="W527" s="220">
        <f>COUNTIFS($I$312:$I$326,"&gt;0.8082")</f>
        <v>9</v>
      </c>
      <c r="X527" s="218"/>
      <c r="Y527" s="4"/>
      <c r="Z527" s="4"/>
      <c r="AA527" s="144">
        <v>15</v>
      </c>
      <c r="AE527" s="218"/>
      <c r="AQ527" s="82"/>
    </row>
    <row r="528" spans="1:43" s="144" customFormat="1" x14ac:dyDescent="0.2">
      <c r="A528" s="224" t="s">
        <v>869</v>
      </c>
      <c r="B528" s="267"/>
      <c r="C528" s="267"/>
      <c r="D528" s="268"/>
      <c r="E528" s="267"/>
      <c r="F528" s="267"/>
      <c r="G528" s="270">
        <f>COUNTA($H$340:$H$357)-U528</f>
        <v>18</v>
      </c>
      <c r="H528" s="270">
        <f>COUNTIFS($I$340:$I$357,"&gt;1")</f>
        <v>1</v>
      </c>
      <c r="I528" s="270">
        <f>COUNTIFS($I$340:$I$357,"1")</f>
        <v>6</v>
      </c>
      <c r="J528" s="270">
        <f>COUNTIFS($I$340:$I$357,"&gt;=.9")-H528-I528</f>
        <v>0</v>
      </c>
      <c r="K528" s="270">
        <f>COUNTIFS($I$340:$I$357,"&gt;=.8")-H528-I528-J528</f>
        <v>0</v>
      </c>
      <c r="L528" s="270">
        <f>COUNTIFS($I$340:$I$357,"&gt;=.7")-H528-I528-J528-K528</f>
        <v>3</v>
      </c>
      <c r="M528" s="270">
        <f>COUNTIFS($I$340:$I$357,"&gt;=.6")-H528-I528-J528-K528-L528</f>
        <v>3</v>
      </c>
      <c r="N528" s="270">
        <f>COUNTIFS($I$340:$I$357,"&gt;=.5")-H528-I528-J528-K528-L528-M528</f>
        <v>3</v>
      </c>
      <c r="O528" s="270">
        <f>COUNTIFS($I$340:$I$357,"&gt;=.4")-H528-I528-J528-K528-L528-M528-N528</f>
        <v>0</v>
      </c>
      <c r="P528" s="270">
        <f>COUNTIFS($I$340:$I$357,"&gt;=.3")-H528-I528-J528-K528-L528-M528-N528-O528</f>
        <v>1</v>
      </c>
      <c r="Q528" s="270">
        <f>COUNTIFS($I$340:$I$357,"&gt;=.2")-H528-I528-J528-K528-L528-M528-N528-O528-P528</f>
        <v>0</v>
      </c>
      <c r="R528" s="305">
        <f>COUNTIFS($I$340:$I$357,"&gt;=.1")-H528-I528-J528-K528-L528-M528-N528-O528-P528-Q528</f>
        <v>0</v>
      </c>
      <c r="S528" s="305">
        <f>COUNTIFS($I$340:$I$357,"&lt;.1")</f>
        <v>1</v>
      </c>
      <c r="T528" s="305">
        <f>COUNTIFS($I$340:$I$357,"&lt;=0")</f>
        <v>1</v>
      </c>
      <c r="U528" s="305">
        <v>0</v>
      </c>
      <c r="V528" s="220"/>
      <c r="W528" s="220">
        <f>COUNTIFS($I$340:$I$357,"&gt;0.8082")</f>
        <v>7</v>
      </c>
      <c r="X528" s="218"/>
      <c r="Y528" s="4"/>
      <c r="Z528" s="4"/>
      <c r="AA528" s="144">
        <v>18</v>
      </c>
      <c r="AE528" s="218"/>
      <c r="AQ528" s="82"/>
    </row>
    <row r="529" spans="1:43" s="144" customFormat="1" x14ac:dyDescent="0.2">
      <c r="A529" s="224" t="s">
        <v>870</v>
      </c>
      <c r="B529" s="267"/>
      <c r="C529" s="267"/>
      <c r="D529" s="268"/>
      <c r="E529" s="267"/>
      <c r="F529" s="267"/>
      <c r="G529" s="270">
        <f>COUNTA($H$371:$H$404)-U529</f>
        <v>34</v>
      </c>
      <c r="H529" s="270">
        <f>COUNTIFS($I$371:$I$404,"&gt;1")</f>
        <v>1</v>
      </c>
      <c r="I529" s="270">
        <f>COUNTIFS($I$371:$I$404,"1")</f>
        <v>15</v>
      </c>
      <c r="J529" s="270">
        <f>COUNTIFS($I$371:$I$404,"&gt;=.9")-H529-I529</f>
        <v>1</v>
      </c>
      <c r="K529" s="270">
        <f>COUNTIFS($I$371:$I$404,"&gt;=.8")-H529-I529-J529</f>
        <v>2</v>
      </c>
      <c r="L529" s="270">
        <f>COUNTIFS($I$371:$I$404,"&gt;=.7")-H529-I529-J529-K529</f>
        <v>5</v>
      </c>
      <c r="M529" s="270">
        <f>COUNTIFS($I$371:$I$404,"&gt;=.6")-H529-I529-J529-K529-L529</f>
        <v>2</v>
      </c>
      <c r="N529" s="270">
        <f>COUNTIFS($I$371:$I$404,"&gt;=.5")-H529-I529-J529-K529-L529-M529</f>
        <v>3</v>
      </c>
      <c r="O529" s="270">
        <f>COUNTIFS($I$371:$I$404,"&gt;=.4")-H529-I529-J529-K529-L529-M529-N529</f>
        <v>1</v>
      </c>
      <c r="P529" s="270">
        <f>COUNTIFS($I$371:$I$404,"&gt;=.3")-H529-I529-J529-K529-L529-M529-N529-O529</f>
        <v>2</v>
      </c>
      <c r="Q529" s="270">
        <f>COUNTIFS($I$371:$I$404,"&gt;=.2")-H529-I529-J529-K529-L529-M529-N529-O529-P529</f>
        <v>1</v>
      </c>
      <c r="R529" s="305">
        <f>COUNTIFS($I$371:$I$404,"&gt;=.1")-H529-I529-J529-K529-L529-M529-N529-O529-P529-Q529</f>
        <v>0</v>
      </c>
      <c r="S529" s="305">
        <f>COUNTIFS($I$371:$I$404,"&lt;.1")</f>
        <v>1</v>
      </c>
      <c r="T529" s="305">
        <f>COUNTIFS($I$371:$I$404,"&lt;=0")</f>
        <v>1</v>
      </c>
      <c r="U529" s="305">
        <v>0</v>
      </c>
      <c r="V529" s="220"/>
      <c r="W529" s="220">
        <f>COUNTIFS($I$371:$I$404,"&gt;0.8082")</f>
        <v>18</v>
      </c>
      <c r="X529" s="218"/>
      <c r="Y529" s="4"/>
      <c r="Z529" s="4"/>
      <c r="AA529" s="144">
        <v>34</v>
      </c>
      <c r="AE529" s="218"/>
      <c r="AQ529" s="82"/>
    </row>
    <row r="530" spans="1:43" s="144" customFormat="1" x14ac:dyDescent="0.2">
      <c r="A530" s="224" t="s">
        <v>871</v>
      </c>
      <c r="B530" s="267"/>
      <c r="C530" s="267"/>
      <c r="D530" s="268"/>
      <c r="E530" s="267"/>
      <c r="F530" s="267"/>
      <c r="G530" s="270">
        <f>COUNTA($H$418:$H$464)-U530</f>
        <v>47</v>
      </c>
      <c r="H530" s="270">
        <f>COUNTIFS($I$418:$I$464,"&gt;1")</f>
        <v>2</v>
      </c>
      <c r="I530" s="270">
        <f>COUNTIFS($I$418:$I$464,"1")</f>
        <v>39</v>
      </c>
      <c r="J530" s="270">
        <f>COUNTIFS($I$418:$I$464,"&gt;=.9")-H530-I530</f>
        <v>0</v>
      </c>
      <c r="K530" s="270">
        <f>COUNTIFS($I$418:$I$464,"&gt;=.8")-H530-I530-J530</f>
        <v>0</v>
      </c>
      <c r="L530" s="270">
        <f>COUNTIFS($I$418:$I$464,"&gt;=.7")-H530-I530-J530-K530</f>
        <v>1</v>
      </c>
      <c r="M530" s="270">
        <f>COUNTIFS($I$418:$I$464,"&gt;=.6")-H530-I530-J530-K530-L530</f>
        <v>2</v>
      </c>
      <c r="N530" s="270">
        <f>COUNTIFS($I$418:$I$464,"&gt;=.5")-H530-I530-J530-K530-L530-M530</f>
        <v>1</v>
      </c>
      <c r="O530" s="270">
        <f>COUNTIFS($I$418:$I$464,"&gt;=.4")-H530-I530-J530-K530-L530-M530-N530</f>
        <v>0</v>
      </c>
      <c r="P530" s="270">
        <f>COUNTIFS($I$418:$I$464,"&gt;=.3")-H530-I530-J530-K530-L530-M530-N530-O530</f>
        <v>1</v>
      </c>
      <c r="Q530" s="270">
        <f>COUNTIFS($I$418:$I$464,"&gt;=.2")-H530-I530-J530-K530-L530-M530-N530-O530-P530</f>
        <v>0</v>
      </c>
      <c r="R530" s="305">
        <f>COUNTIFS($I$418:$I$464,"&gt;=.1")-H530-I530-J530-K530-L530-M530-N530-O530-P530-Q530</f>
        <v>0</v>
      </c>
      <c r="S530" s="305">
        <f>COUNTIFS($I$418:$I$464,"&lt;.1")</f>
        <v>1</v>
      </c>
      <c r="T530" s="305">
        <f>COUNTIFS($I$418:$I$464,"&lt;=0")</f>
        <v>1</v>
      </c>
      <c r="U530" s="305">
        <v>0</v>
      </c>
      <c r="V530" s="220"/>
      <c r="W530" s="220">
        <f>COUNTIFS($I$418:$I$464,"&gt;0.8082")</f>
        <v>41</v>
      </c>
      <c r="X530" s="218"/>
      <c r="Y530" s="4"/>
      <c r="Z530" s="4"/>
      <c r="AA530" s="144">
        <v>47</v>
      </c>
      <c r="AE530" s="218"/>
      <c r="AQ530" s="82"/>
    </row>
    <row r="531" spans="1:43" s="144" customFormat="1" x14ac:dyDescent="0.2">
      <c r="A531" s="224" t="s">
        <v>872</v>
      </c>
      <c r="B531" s="267"/>
      <c r="C531" s="267"/>
      <c r="D531" s="268"/>
      <c r="E531" s="267"/>
      <c r="F531" s="267"/>
      <c r="G531" s="270">
        <f>COUNTA($H$479:$H$505)-U531</f>
        <v>26</v>
      </c>
      <c r="H531" s="270">
        <f>COUNTIFS($I$479:$I$504,"&gt;1")</f>
        <v>1</v>
      </c>
      <c r="I531" s="270">
        <f>COUNTIFS($I$479:$I$504,"1")</f>
        <v>13</v>
      </c>
      <c r="J531" s="270">
        <f>COUNTIFS($I$479:$I$504,"&gt;=.9")-H531-I531</f>
        <v>2</v>
      </c>
      <c r="K531" s="270">
        <f>COUNTIFS($I$479:$I$504,"&gt;=.8")-H531-I531-J531</f>
        <v>2</v>
      </c>
      <c r="L531" s="270">
        <f>COUNTIFS($I$479:$I$504,"&gt;=.7")-H531-I531-J531-K531</f>
        <v>3</v>
      </c>
      <c r="M531" s="270">
        <f>COUNTIFS($I$479:$I$504,"&gt;=.6")-H531-I531-J531-K531-L531</f>
        <v>2</v>
      </c>
      <c r="N531" s="270">
        <f>COUNTIFS($I$479:$I$504,"&gt;=.5")-H531-I531-J531-K531-L531-M531</f>
        <v>0</v>
      </c>
      <c r="O531" s="270">
        <f>COUNTIFS($I$479:$I$504,"&gt;=.4")-H531-I531-J531-K531-L531-M531-N531</f>
        <v>2</v>
      </c>
      <c r="P531" s="270">
        <f>COUNTIFS($I$479:$I$504,"&gt;=.3")-H531-I531-J531-K531-L531-M531-N531-O531</f>
        <v>0</v>
      </c>
      <c r="Q531" s="270">
        <f>COUNTIFS($I$479:$I$504,"&gt;=.2")-H531-I531-J531-K531-L531-M531-N531-O531-P531</f>
        <v>0</v>
      </c>
      <c r="R531" s="305">
        <f>COUNTIFS($I$479:$I$504,"&gt;=.1")-H531-I531-J531-K531-L531-M531-N531-O531-P531-Q531</f>
        <v>1</v>
      </c>
      <c r="S531" s="305">
        <f>COUNTIFS($I$479:$I$504,"&lt;.1")</f>
        <v>0</v>
      </c>
      <c r="T531" s="305">
        <f>COUNTIFS($I$479:$I$504,"&lt;=0")</f>
        <v>0</v>
      </c>
      <c r="U531" s="305">
        <v>1</v>
      </c>
      <c r="V531" s="220"/>
      <c r="W531" s="220">
        <f>COUNTIFS($I$479:$I$505,"&gt;0.8082")</f>
        <v>17</v>
      </c>
      <c r="X531" s="218"/>
      <c r="Y531" s="4"/>
      <c r="Z531" s="4"/>
      <c r="AA531" s="144">
        <v>27</v>
      </c>
      <c r="AE531" s="218"/>
      <c r="AQ531" s="82"/>
    </row>
    <row r="532" spans="1:43" s="6" customFormat="1" x14ac:dyDescent="0.2">
      <c r="A532" s="301"/>
      <c r="B532" s="271"/>
      <c r="C532" s="271"/>
      <c r="D532" s="272"/>
      <c r="E532" s="271"/>
      <c r="F532" s="271"/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305"/>
      <c r="S532" s="305"/>
      <c r="T532" s="305"/>
      <c r="U532" s="305"/>
      <c r="V532" s="10"/>
      <c r="W532" s="220"/>
      <c r="X532" s="10"/>
      <c r="Y532" s="4"/>
      <c r="Z532" s="4"/>
      <c r="AE532" s="10"/>
      <c r="AQ532" s="82"/>
    </row>
    <row r="533" spans="1:43" s="6" customFormat="1" x14ac:dyDescent="0.2">
      <c r="A533" s="301"/>
      <c r="B533" s="271"/>
      <c r="C533" s="271"/>
      <c r="D533" s="272"/>
      <c r="E533" s="271"/>
      <c r="F533" s="271"/>
      <c r="G533" s="270">
        <f>SUM(G520:G532)</f>
        <v>353</v>
      </c>
      <c r="H533" s="270">
        <f t="shared" ref="H533:T533" si="116">SUM(H520:H532)</f>
        <v>12</v>
      </c>
      <c r="I533" s="270">
        <f t="shared" si="116"/>
        <v>176</v>
      </c>
      <c r="J533" s="270">
        <f t="shared" si="116"/>
        <v>17</v>
      </c>
      <c r="K533" s="270">
        <f t="shared" si="116"/>
        <v>18</v>
      </c>
      <c r="L533" s="270">
        <f t="shared" si="116"/>
        <v>31</v>
      </c>
      <c r="M533" s="270">
        <f t="shared" si="116"/>
        <v>22</v>
      </c>
      <c r="N533" s="270">
        <f t="shared" si="116"/>
        <v>18</v>
      </c>
      <c r="O533" s="270">
        <f t="shared" si="116"/>
        <v>15</v>
      </c>
      <c r="P533" s="270">
        <f t="shared" si="116"/>
        <v>18</v>
      </c>
      <c r="Q533" s="270">
        <f t="shared" si="116"/>
        <v>5</v>
      </c>
      <c r="R533" s="305">
        <f t="shared" si="116"/>
        <v>7</v>
      </c>
      <c r="S533" s="305">
        <f t="shared" si="116"/>
        <v>13</v>
      </c>
      <c r="T533" s="305">
        <f t="shared" si="116"/>
        <v>8</v>
      </c>
      <c r="U533" s="305">
        <f>SUM(U520:U532)</f>
        <v>1</v>
      </c>
      <c r="V533" s="10"/>
      <c r="W533" s="220">
        <f t="shared" ref="W533" si="117">SUM(W520:W532)</f>
        <v>219</v>
      </c>
      <c r="X533" s="10"/>
      <c r="Y533" s="4"/>
      <c r="Z533" s="4"/>
      <c r="AE533" s="10"/>
      <c r="AQ533" s="82"/>
    </row>
    <row r="534" spans="1:43" ht="15.75" thickBot="1" x14ac:dyDescent="0.25">
      <c r="A534" s="310"/>
      <c r="B534" s="274"/>
      <c r="C534" s="274"/>
      <c r="D534" s="275"/>
      <c r="E534" s="274"/>
      <c r="F534" s="274"/>
      <c r="G534" s="276"/>
      <c r="H534" s="277"/>
      <c r="I534" s="277"/>
      <c r="J534" s="277"/>
      <c r="K534" s="277"/>
      <c r="L534" s="277"/>
      <c r="M534" s="277"/>
      <c r="N534" s="277"/>
      <c r="O534" s="277"/>
      <c r="P534" s="277"/>
      <c r="Q534" s="277"/>
      <c r="R534" s="232"/>
      <c r="S534" s="228"/>
      <c r="T534" s="228"/>
      <c r="U534" s="228"/>
      <c r="V534" s="229"/>
      <c r="W534" s="228"/>
      <c r="Y534" s="4"/>
      <c r="Z534" s="4"/>
    </row>
    <row r="535" spans="1:43" x14ac:dyDescent="0.2">
      <c r="A535" s="301"/>
      <c r="B535" s="278"/>
      <c r="C535" s="278"/>
      <c r="D535" s="279"/>
      <c r="E535" s="278"/>
      <c r="F535" s="278"/>
      <c r="G535" s="280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304"/>
      <c r="S535" s="306"/>
      <c r="T535" s="306"/>
      <c r="U535" s="306"/>
      <c r="W535" s="141"/>
      <c r="Y535" s="4"/>
      <c r="Z535" s="4"/>
    </row>
    <row r="536" spans="1:43" x14ac:dyDescent="0.2">
      <c r="A536" s="300">
        <v>2021</v>
      </c>
      <c r="B536" s="283"/>
      <c r="C536" s="283"/>
      <c r="D536" s="284"/>
      <c r="E536" s="283"/>
      <c r="F536" s="283"/>
      <c r="G536" s="267" t="s">
        <v>1097</v>
      </c>
      <c r="H536" s="285" t="s">
        <v>1098</v>
      </c>
      <c r="I536" s="285">
        <v>1</v>
      </c>
      <c r="J536" s="267" t="s">
        <v>1099</v>
      </c>
      <c r="K536" s="267" t="s">
        <v>1100</v>
      </c>
      <c r="L536" s="267" t="s">
        <v>1101</v>
      </c>
      <c r="M536" s="267" t="s">
        <v>1102</v>
      </c>
      <c r="N536" s="267" t="s">
        <v>1103</v>
      </c>
      <c r="O536" s="267" t="s">
        <v>1104</v>
      </c>
      <c r="P536" s="267" t="s">
        <v>1105</v>
      </c>
      <c r="Q536" s="267" t="s">
        <v>1106</v>
      </c>
      <c r="R536" s="302" t="s">
        <v>1107</v>
      </c>
      <c r="S536" s="302" t="s">
        <v>1108</v>
      </c>
      <c r="T536" s="303">
        <v>0</v>
      </c>
      <c r="U536" s="302" t="s">
        <v>1109</v>
      </c>
      <c r="W536" s="237" t="s">
        <v>1212</v>
      </c>
      <c r="Y536" s="4"/>
      <c r="Z536" s="4"/>
    </row>
    <row r="537" spans="1:43" x14ac:dyDescent="0.2">
      <c r="A537" s="301"/>
      <c r="B537" s="283"/>
      <c r="C537" s="283"/>
      <c r="D537" s="284"/>
      <c r="E537" s="283"/>
      <c r="F537" s="283"/>
      <c r="G537" s="267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307"/>
      <c r="S537" s="307"/>
      <c r="T537" s="308"/>
      <c r="U537" s="307"/>
      <c r="W537"/>
      <c r="Y537" s="4"/>
      <c r="Z537" s="4"/>
    </row>
    <row r="538" spans="1:43" x14ac:dyDescent="0.2">
      <c r="A538" s="224" t="s">
        <v>880</v>
      </c>
      <c r="B538" s="283"/>
      <c r="C538" s="283"/>
      <c r="D538" s="284"/>
      <c r="E538" s="283"/>
      <c r="F538" s="283"/>
      <c r="G538" s="270">
        <v>30</v>
      </c>
      <c r="H538" s="270">
        <v>0</v>
      </c>
      <c r="I538" s="270">
        <v>9</v>
      </c>
      <c r="J538" s="270">
        <v>0</v>
      </c>
      <c r="K538" s="270">
        <v>7</v>
      </c>
      <c r="L538" s="270">
        <v>3</v>
      </c>
      <c r="M538" s="270">
        <v>2</v>
      </c>
      <c r="N538" s="270">
        <v>3</v>
      </c>
      <c r="O538" s="270">
        <v>1</v>
      </c>
      <c r="P538" s="270">
        <v>2</v>
      </c>
      <c r="Q538" s="270">
        <v>2</v>
      </c>
      <c r="R538" s="305">
        <v>0</v>
      </c>
      <c r="S538" s="305">
        <v>1</v>
      </c>
      <c r="T538" s="305">
        <v>0</v>
      </c>
      <c r="U538" s="305">
        <v>0</v>
      </c>
      <c r="W538" s="7">
        <v>16</v>
      </c>
      <c r="Y538" s="4"/>
      <c r="Z538" s="4"/>
    </row>
    <row r="539" spans="1:43" x14ac:dyDescent="0.2">
      <c r="A539" s="224" t="s">
        <v>862</v>
      </c>
      <c r="B539" s="283"/>
      <c r="C539" s="283"/>
      <c r="D539" s="284"/>
      <c r="E539" s="283"/>
      <c r="F539" s="283"/>
      <c r="G539" s="270">
        <v>31</v>
      </c>
      <c r="H539" s="270">
        <v>2</v>
      </c>
      <c r="I539" s="270">
        <v>13</v>
      </c>
      <c r="J539" s="270">
        <v>1</v>
      </c>
      <c r="K539" s="270">
        <v>0</v>
      </c>
      <c r="L539" s="270">
        <v>4</v>
      </c>
      <c r="M539" s="270">
        <v>2</v>
      </c>
      <c r="N539" s="270">
        <v>2</v>
      </c>
      <c r="O539" s="270">
        <v>3</v>
      </c>
      <c r="P539" s="270">
        <v>1</v>
      </c>
      <c r="Q539" s="270">
        <v>1</v>
      </c>
      <c r="R539" s="305">
        <v>0</v>
      </c>
      <c r="S539" s="305">
        <v>2</v>
      </c>
      <c r="T539" s="305">
        <v>0</v>
      </c>
      <c r="U539" s="305">
        <v>0</v>
      </c>
      <c r="W539" s="7">
        <v>16</v>
      </c>
      <c r="Y539" s="4"/>
      <c r="Z539" s="4"/>
    </row>
    <row r="540" spans="1:43" x14ac:dyDescent="0.2">
      <c r="A540" s="224" t="s">
        <v>863</v>
      </c>
      <c r="B540" s="283"/>
      <c r="C540" s="283"/>
      <c r="D540" s="284"/>
      <c r="E540" s="283"/>
      <c r="F540" s="283"/>
      <c r="G540" s="270">
        <v>25</v>
      </c>
      <c r="H540" s="270">
        <v>0</v>
      </c>
      <c r="I540" s="270">
        <v>13</v>
      </c>
      <c r="J540" s="270">
        <v>2</v>
      </c>
      <c r="K540" s="270">
        <v>1</v>
      </c>
      <c r="L540" s="270">
        <v>1</v>
      </c>
      <c r="M540" s="270">
        <v>0</v>
      </c>
      <c r="N540" s="270">
        <v>3</v>
      </c>
      <c r="O540" s="270">
        <v>0</v>
      </c>
      <c r="P540" s="270">
        <v>2</v>
      </c>
      <c r="Q540" s="270">
        <v>1</v>
      </c>
      <c r="R540" s="305">
        <v>2</v>
      </c>
      <c r="S540" s="305">
        <v>0</v>
      </c>
      <c r="T540" s="305">
        <v>0</v>
      </c>
      <c r="U540" s="305">
        <v>2</v>
      </c>
      <c r="W540" s="7">
        <v>16</v>
      </c>
      <c r="Y540" s="4"/>
      <c r="Z540" s="4"/>
    </row>
    <row r="541" spans="1:43" x14ac:dyDescent="0.2">
      <c r="A541" s="224" t="s">
        <v>864</v>
      </c>
      <c r="B541" s="283"/>
      <c r="C541" s="283"/>
      <c r="D541" s="284"/>
      <c r="E541" s="283"/>
      <c r="F541" s="283"/>
      <c r="G541" s="270">
        <v>26</v>
      </c>
      <c r="H541" s="270">
        <v>0</v>
      </c>
      <c r="I541" s="270">
        <v>7</v>
      </c>
      <c r="J541" s="270">
        <v>0</v>
      </c>
      <c r="K541" s="270">
        <v>4</v>
      </c>
      <c r="L541" s="270">
        <v>4</v>
      </c>
      <c r="M541" s="270">
        <v>3</v>
      </c>
      <c r="N541" s="270">
        <v>3</v>
      </c>
      <c r="O541" s="270">
        <v>2</v>
      </c>
      <c r="P541" s="270">
        <v>2</v>
      </c>
      <c r="Q541" s="270">
        <v>1</v>
      </c>
      <c r="R541" s="305">
        <v>0</v>
      </c>
      <c r="S541" s="305">
        <v>0</v>
      </c>
      <c r="T541" s="305">
        <v>0</v>
      </c>
      <c r="U541" s="305">
        <v>1</v>
      </c>
      <c r="W541" s="7">
        <v>10</v>
      </c>
    </row>
    <row r="542" spans="1:43" x14ac:dyDescent="0.2">
      <c r="A542" s="224" t="s">
        <v>865</v>
      </c>
      <c r="B542" s="283"/>
      <c r="C542" s="283"/>
      <c r="D542" s="284"/>
      <c r="E542" s="283"/>
      <c r="F542" s="283"/>
      <c r="G542" s="270">
        <v>43</v>
      </c>
      <c r="H542" s="270">
        <v>1</v>
      </c>
      <c r="I542" s="270">
        <v>27</v>
      </c>
      <c r="J542" s="270">
        <v>0</v>
      </c>
      <c r="K542" s="270">
        <v>0</v>
      </c>
      <c r="L542" s="270">
        <v>2</v>
      </c>
      <c r="M542" s="270">
        <v>1</v>
      </c>
      <c r="N542" s="270">
        <v>2</v>
      </c>
      <c r="O542" s="270">
        <v>2</v>
      </c>
      <c r="P542" s="270">
        <v>4</v>
      </c>
      <c r="Q542" s="270">
        <v>3</v>
      </c>
      <c r="R542" s="305">
        <v>0</v>
      </c>
      <c r="S542" s="305">
        <v>1</v>
      </c>
      <c r="T542" s="305">
        <v>1</v>
      </c>
      <c r="U542" s="305">
        <v>1</v>
      </c>
      <c r="W542" s="7">
        <v>28</v>
      </c>
    </row>
    <row r="543" spans="1:43" x14ac:dyDescent="0.2">
      <c r="A543" s="224" t="s">
        <v>866</v>
      </c>
      <c r="B543" s="283"/>
      <c r="C543" s="283"/>
      <c r="D543" s="284"/>
      <c r="E543" s="283"/>
      <c r="F543" s="283"/>
      <c r="G543" s="270">
        <v>32</v>
      </c>
      <c r="H543" s="270">
        <v>1</v>
      </c>
      <c r="I543" s="270">
        <v>8</v>
      </c>
      <c r="J543" s="270">
        <v>1</v>
      </c>
      <c r="K543" s="270">
        <v>5</v>
      </c>
      <c r="L543" s="270">
        <v>5</v>
      </c>
      <c r="M543" s="270">
        <v>1</v>
      </c>
      <c r="N543" s="270">
        <v>3</v>
      </c>
      <c r="O543" s="270">
        <v>3</v>
      </c>
      <c r="P543" s="270">
        <v>2</v>
      </c>
      <c r="Q543" s="270">
        <v>1</v>
      </c>
      <c r="R543" s="305">
        <v>1</v>
      </c>
      <c r="S543" s="305">
        <v>1</v>
      </c>
      <c r="T543" s="305">
        <v>1</v>
      </c>
      <c r="U543" s="305">
        <v>0</v>
      </c>
      <c r="W543" s="7">
        <v>13</v>
      </c>
    </row>
    <row r="544" spans="1:43" x14ac:dyDescent="0.2">
      <c r="A544" s="224" t="s">
        <v>867</v>
      </c>
      <c r="B544" s="283"/>
      <c r="C544" s="283"/>
      <c r="D544" s="284"/>
      <c r="E544" s="283"/>
      <c r="F544" s="283"/>
      <c r="G544" s="270">
        <v>24</v>
      </c>
      <c r="H544" s="270">
        <v>1</v>
      </c>
      <c r="I544" s="270">
        <v>10</v>
      </c>
      <c r="J544" s="270">
        <v>1</v>
      </c>
      <c r="K544" s="270">
        <v>2</v>
      </c>
      <c r="L544" s="270">
        <v>2</v>
      </c>
      <c r="M544" s="270">
        <v>0</v>
      </c>
      <c r="N544" s="270">
        <v>3</v>
      </c>
      <c r="O544" s="270">
        <v>1</v>
      </c>
      <c r="P544" s="270">
        <v>1</v>
      </c>
      <c r="Q544" s="270">
        <v>1</v>
      </c>
      <c r="R544" s="305">
        <v>2</v>
      </c>
      <c r="S544" s="305">
        <v>0</v>
      </c>
      <c r="T544" s="305">
        <v>0</v>
      </c>
      <c r="U544" s="305">
        <v>0</v>
      </c>
      <c r="W544" s="7">
        <v>14</v>
      </c>
    </row>
    <row r="545" spans="1:23" x14ac:dyDescent="0.2">
      <c r="A545" s="224" t="s">
        <v>868</v>
      </c>
      <c r="B545" s="283"/>
      <c r="C545" s="283"/>
      <c r="D545" s="284"/>
      <c r="E545" s="283"/>
      <c r="F545" s="283"/>
      <c r="G545" s="270">
        <v>15</v>
      </c>
      <c r="H545" s="270">
        <v>0</v>
      </c>
      <c r="I545" s="270">
        <v>9</v>
      </c>
      <c r="J545" s="270">
        <v>1</v>
      </c>
      <c r="K545" s="270">
        <v>0</v>
      </c>
      <c r="L545" s="270">
        <v>1</v>
      </c>
      <c r="M545" s="270">
        <v>1</v>
      </c>
      <c r="N545" s="270">
        <v>1</v>
      </c>
      <c r="O545" s="270">
        <v>0</v>
      </c>
      <c r="P545" s="270">
        <v>1</v>
      </c>
      <c r="Q545" s="270">
        <v>1</v>
      </c>
      <c r="R545" s="305">
        <v>0</v>
      </c>
      <c r="S545" s="305">
        <v>0</v>
      </c>
      <c r="T545" s="305">
        <v>0</v>
      </c>
      <c r="U545" s="305">
        <v>0</v>
      </c>
      <c r="W545" s="7">
        <v>10</v>
      </c>
    </row>
    <row r="546" spans="1:23" x14ac:dyDescent="0.2">
      <c r="A546" s="224" t="s">
        <v>869</v>
      </c>
      <c r="B546" s="283"/>
      <c r="C546" s="283"/>
      <c r="D546" s="284"/>
      <c r="E546" s="283"/>
      <c r="F546" s="283"/>
      <c r="G546" s="270">
        <v>18</v>
      </c>
      <c r="H546" s="270">
        <v>1</v>
      </c>
      <c r="I546" s="270">
        <v>6</v>
      </c>
      <c r="J546" s="270">
        <v>0</v>
      </c>
      <c r="K546" s="270">
        <v>1</v>
      </c>
      <c r="L546" s="270">
        <v>4</v>
      </c>
      <c r="M546" s="270">
        <v>2</v>
      </c>
      <c r="N546" s="270">
        <v>1</v>
      </c>
      <c r="O546" s="270">
        <v>1</v>
      </c>
      <c r="P546" s="270">
        <v>0</v>
      </c>
      <c r="Q546" s="270">
        <v>0</v>
      </c>
      <c r="R546" s="305">
        <v>0</v>
      </c>
      <c r="S546" s="305">
        <v>2</v>
      </c>
      <c r="T546" s="305">
        <v>1</v>
      </c>
      <c r="U546" s="309">
        <v>0</v>
      </c>
      <c r="W546" s="7">
        <v>8</v>
      </c>
    </row>
    <row r="547" spans="1:23" x14ac:dyDescent="0.2">
      <c r="A547" s="224" t="s">
        <v>870</v>
      </c>
      <c r="B547" s="283"/>
      <c r="C547" s="283"/>
      <c r="D547" s="284"/>
      <c r="E547" s="283"/>
      <c r="F547" s="283"/>
      <c r="G547" s="270">
        <v>34</v>
      </c>
      <c r="H547" s="270">
        <v>1</v>
      </c>
      <c r="I547" s="270">
        <v>15</v>
      </c>
      <c r="J547" s="270">
        <v>5</v>
      </c>
      <c r="K547" s="270">
        <v>0</v>
      </c>
      <c r="L547" s="270">
        <v>4</v>
      </c>
      <c r="M547" s="270">
        <v>2</v>
      </c>
      <c r="N547" s="270">
        <v>1</v>
      </c>
      <c r="O547" s="270">
        <v>4</v>
      </c>
      <c r="P547" s="270">
        <v>1</v>
      </c>
      <c r="Q547" s="270">
        <v>0</v>
      </c>
      <c r="R547" s="305">
        <v>0</v>
      </c>
      <c r="S547" s="305">
        <v>1</v>
      </c>
      <c r="T547" s="305">
        <v>1</v>
      </c>
      <c r="U547" s="309">
        <v>1</v>
      </c>
      <c r="W547" s="7">
        <v>21</v>
      </c>
    </row>
    <row r="548" spans="1:23" x14ac:dyDescent="0.2">
      <c r="A548" s="224" t="s">
        <v>871</v>
      </c>
      <c r="B548" s="283"/>
      <c r="C548" s="283"/>
      <c r="D548" s="284"/>
      <c r="E548" s="283"/>
      <c r="F548" s="283"/>
      <c r="G548" s="270">
        <v>47</v>
      </c>
      <c r="H548" s="270">
        <v>11</v>
      </c>
      <c r="I548" s="270">
        <v>28</v>
      </c>
      <c r="J548" s="270">
        <v>0</v>
      </c>
      <c r="K548" s="270">
        <v>0</v>
      </c>
      <c r="L548" s="270">
        <v>2</v>
      </c>
      <c r="M548" s="270">
        <v>1</v>
      </c>
      <c r="N548" s="270">
        <v>2</v>
      </c>
      <c r="O548" s="270">
        <v>1</v>
      </c>
      <c r="P548" s="270">
        <v>0</v>
      </c>
      <c r="Q548" s="270">
        <v>0</v>
      </c>
      <c r="R548" s="305">
        <v>0</v>
      </c>
      <c r="S548" s="305">
        <v>2</v>
      </c>
      <c r="T548" s="305">
        <v>2</v>
      </c>
      <c r="U548" s="309">
        <v>0</v>
      </c>
      <c r="W548" s="7">
        <v>39</v>
      </c>
    </row>
    <row r="549" spans="1:23" x14ac:dyDescent="0.2">
      <c r="A549" s="224" t="s">
        <v>872</v>
      </c>
      <c r="B549" s="283"/>
      <c r="C549" s="283"/>
      <c r="D549" s="284"/>
      <c r="E549" s="283"/>
      <c r="F549" s="283"/>
      <c r="G549" s="270">
        <v>27</v>
      </c>
      <c r="H549" s="270">
        <v>2</v>
      </c>
      <c r="I549" s="270">
        <v>14</v>
      </c>
      <c r="J549" s="270">
        <v>0</v>
      </c>
      <c r="K549" s="270">
        <v>1</v>
      </c>
      <c r="L549" s="270">
        <v>2</v>
      </c>
      <c r="M549" s="270">
        <v>3</v>
      </c>
      <c r="N549" s="270">
        <v>3</v>
      </c>
      <c r="O549" s="270">
        <v>0</v>
      </c>
      <c r="P549" s="270">
        <v>0</v>
      </c>
      <c r="Q549" s="270">
        <v>0</v>
      </c>
      <c r="R549" s="305">
        <v>2</v>
      </c>
      <c r="S549" s="305">
        <v>0</v>
      </c>
      <c r="T549" s="305">
        <v>0</v>
      </c>
      <c r="U549" s="309">
        <v>1</v>
      </c>
      <c r="W549" s="7">
        <v>17</v>
      </c>
    </row>
    <row r="550" spans="1:23" x14ac:dyDescent="0.2">
      <c r="A550" s="301"/>
      <c r="B550" s="278"/>
      <c r="C550" s="278"/>
      <c r="D550" s="279"/>
      <c r="E550" s="278"/>
      <c r="F550" s="278"/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309"/>
      <c r="S550" s="309"/>
      <c r="T550" s="308"/>
      <c r="U550" s="309"/>
      <c r="W550" s="7"/>
    </row>
    <row r="551" spans="1:23" x14ac:dyDescent="0.2">
      <c r="A551" s="301"/>
      <c r="B551" s="278"/>
      <c r="C551" s="278"/>
      <c r="D551" s="279"/>
      <c r="E551" s="278"/>
      <c r="F551" s="278"/>
      <c r="G551" s="270">
        <v>352</v>
      </c>
      <c r="H551" s="270">
        <v>20</v>
      </c>
      <c r="I551" s="270">
        <v>159</v>
      </c>
      <c r="J551" s="270">
        <v>11</v>
      </c>
      <c r="K551" s="270">
        <v>21</v>
      </c>
      <c r="L551" s="270">
        <v>34</v>
      </c>
      <c r="M551" s="270">
        <v>18</v>
      </c>
      <c r="N551" s="270">
        <v>27</v>
      </c>
      <c r="O551" s="270">
        <v>18</v>
      </c>
      <c r="P551" s="270">
        <v>16</v>
      </c>
      <c r="Q551" s="270">
        <v>11</v>
      </c>
      <c r="R551" s="305">
        <v>7</v>
      </c>
      <c r="S551" s="305">
        <v>10</v>
      </c>
      <c r="T551" s="305">
        <v>6</v>
      </c>
      <c r="U551" s="305">
        <v>6</v>
      </c>
      <c r="W551" s="7">
        <v>208</v>
      </c>
    </row>
    <row r="552" spans="1:23" ht="15.75" thickBot="1" x14ac:dyDescent="0.25">
      <c r="A552" s="310"/>
      <c r="B552" s="274"/>
      <c r="C552" s="274"/>
      <c r="D552" s="275"/>
      <c r="E552" s="274"/>
      <c r="F552" s="274"/>
      <c r="G552" s="276"/>
      <c r="H552" s="315"/>
      <c r="I552" s="316"/>
      <c r="J552" s="316"/>
      <c r="K552" s="316"/>
      <c r="L552" s="316"/>
      <c r="M552" s="316"/>
      <c r="N552" s="316"/>
      <c r="O552" s="316"/>
      <c r="P552" s="316"/>
      <c r="Q552" s="316"/>
      <c r="R552" s="317"/>
      <c r="S552" s="318"/>
      <c r="T552" s="318"/>
      <c r="U552" s="318"/>
      <c r="V552" s="229"/>
      <c r="W552" s="319"/>
    </row>
    <row r="553" spans="1:23" x14ac:dyDescent="0.2">
      <c r="A553" s="261"/>
      <c r="B553" s="286"/>
      <c r="C553" s="286"/>
      <c r="D553" s="287"/>
      <c r="E553" s="286"/>
      <c r="F553" s="286"/>
      <c r="G553" s="288"/>
      <c r="H553" s="289"/>
      <c r="I553" s="290"/>
      <c r="J553" s="290"/>
      <c r="K553" s="290"/>
      <c r="L553" s="290"/>
      <c r="M553" s="290"/>
      <c r="N553" s="290"/>
      <c r="O553" s="290"/>
      <c r="P553" s="290"/>
      <c r="Q553" s="290"/>
    </row>
    <row r="554" spans="1:23" x14ac:dyDescent="0.2">
      <c r="A554" s="300">
        <v>2020</v>
      </c>
      <c r="B554" s="286"/>
      <c r="C554" s="286"/>
      <c r="D554" s="287"/>
      <c r="E554" s="286"/>
      <c r="F554" s="286"/>
      <c r="G554" s="311" t="s">
        <v>1097</v>
      </c>
      <c r="H554" s="312" t="s">
        <v>1098</v>
      </c>
      <c r="I554" s="285">
        <v>1</v>
      </c>
      <c r="J554" s="312" t="s">
        <v>1099</v>
      </c>
      <c r="K554" s="312" t="s">
        <v>1100</v>
      </c>
      <c r="L554" s="312" t="s">
        <v>1101</v>
      </c>
      <c r="M554" s="312" t="s">
        <v>1102</v>
      </c>
      <c r="N554" s="312" t="s">
        <v>1103</v>
      </c>
      <c r="O554" s="312" t="s">
        <v>1104</v>
      </c>
      <c r="P554" s="312" t="s">
        <v>1105</v>
      </c>
      <c r="Q554" s="10" t="s">
        <v>1106</v>
      </c>
      <c r="R554" s="7" t="s">
        <v>1107</v>
      </c>
      <c r="S554" s="7" t="s">
        <v>1108</v>
      </c>
      <c r="T554" s="7" t="s">
        <v>1108</v>
      </c>
      <c r="U554" s="7" t="s">
        <v>1109</v>
      </c>
    </row>
    <row r="555" spans="1:23" x14ac:dyDescent="0.2">
      <c r="A555" s="261"/>
      <c r="B555" s="286"/>
      <c r="C555" s="286"/>
      <c r="D555" s="287"/>
      <c r="E555" s="286"/>
      <c r="F555" s="286"/>
      <c r="G555" s="311"/>
      <c r="H555" s="312"/>
      <c r="I555" s="312"/>
      <c r="J555" s="312"/>
      <c r="K555" s="312"/>
      <c r="L555" s="312"/>
      <c r="M555" s="312"/>
      <c r="N555" s="312"/>
      <c r="O555" s="312"/>
      <c r="P555" s="312"/>
      <c r="Q555" s="10"/>
      <c r="R555" s="7"/>
      <c r="S555" s="7"/>
      <c r="T555" s="7"/>
      <c r="U555" s="7"/>
    </row>
    <row r="556" spans="1:23" x14ac:dyDescent="0.2">
      <c r="A556" s="261" t="s">
        <v>880</v>
      </c>
      <c r="B556" s="286"/>
      <c r="C556" s="286"/>
      <c r="D556" s="287"/>
      <c r="E556" s="286"/>
      <c r="F556" s="286"/>
      <c r="G556" s="270">
        <v>30</v>
      </c>
      <c r="H556" s="270">
        <v>2</v>
      </c>
      <c r="I556" s="270">
        <v>8</v>
      </c>
      <c r="J556" s="270">
        <v>1</v>
      </c>
      <c r="K556" s="270">
        <v>1</v>
      </c>
      <c r="L556" s="270">
        <v>4</v>
      </c>
      <c r="M556" s="270">
        <v>2</v>
      </c>
      <c r="N556" s="270">
        <v>3</v>
      </c>
      <c r="O556" s="270">
        <v>2</v>
      </c>
      <c r="P556" s="270">
        <v>1</v>
      </c>
      <c r="Q556" s="270">
        <v>1</v>
      </c>
      <c r="R556" s="270">
        <v>1</v>
      </c>
      <c r="S556" s="270">
        <v>4</v>
      </c>
      <c r="T556" s="270">
        <v>4</v>
      </c>
      <c r="U556" s="270">
        <v>0</v>
      </c>
      <c r="W556" s="270">
        <v>12</v>
      </c>
    </row>
    <row r="557" spans="1:23" x14ac:dyDescent="0.2">
      <c r="A557" s="226" t="s">
        <v>862</v>
      </c>
      <c r="G557" s="270">
        <v>31</v>
      </c>
      <c r="H557" s="270">
        <v>3</v>
      </c>
      <c r="I557" s="270">
        <v>16</v>
      </c>
      <c r="J557" s="270">
        <v>1</v>
      </c>
      <c r="K557" s="270">
        <v>0</v>
      </c>
      <c r="L557" s="270">
        <v>2</v>
      </c>
      <c r="M557" s="270">
        <v>1</v>
      </c>
      <c r="N557" s="270">
        <v>1</v>
      </c>
      <c r="O557" s="270">
        <v>2</v>
      </c>
      <c r="P557" s="270">
        <v>0</v>
      </c>
      <c r="Q557" s="270">
        <v>1</v>
      </c>
      <c r="R557" s="270">
        <v>3</v>
      </c>
      <c r="S557" s="270">
        <v>1</v>
      </c>
      <c r="T557" s="270">
        <v>0</v>
      </c>
      <c r="U557" s="270">
        <v>0</v>
      </c>
      <c r="W557" s="270">
        <v>20</v>
      </c>
    </row>
    <row r="558" spans="1:23" x14ac:dyDescent="0.2">
      <c r="A558" s="226" t="s">
        <v>863</v>
      </c>
      <c r="G558" s="270">
        <v>25</v>
      </c>
      <c r="H558" s="270">
        <v>0</v>
      </c>
      <c r="I558" s="270">
        <v>12</v>
      </c>
      <c r="J558" s="270">
        <v>2</v>
      </c>
      <c r="K558" s="270">
        <v>2</v>
      </c>
      <c r="L558" s="270">
        <v>1</v>
      </c>
      <c r="M558" s="270">
        <v>2</v>
      </c>
      <c r="N558" s="270">
        <v>2</v>
      </c>
      <c r="O558" s="270">
        <v>1</v>
      </c>
      <c r="P558" s="270">
        <v>2</v>
      </c>
      <c r="Q558" s="270">
        <v>1</v>
      </c>
      <c r="R558" s="270">
        <v>0</v>
      </c>
      <c r="S558" s="270">
        <v>0</v>
      </c>
      <c r="T558" s="270">
        <v>0</v>
      </c>
      <c r="U558" s="270">
        <v>2</v>
      </c>
      <c r="W558" s="270">
        <v>16</v>
      </c>
    </row>
    <row r="559" spans="1:23" x14ac:dyDescent="0.2">
      <c r="A559" s="226" t="s">
        <v>864</v>
      </c>
      <c r="G559" s="270">
        <v>26</v>
      </c>
      <c r="H559" s="270">
        <v>0</v>
      </c>
      <c r="I559" s="270">
        <v>10</v>
      </c>
      <c r="J559" s="270">
        <v>0</v>
      </c>
      <c r="K559" s="270">
        <v>2</v>
      </c>
      <c r="L559" s="270">
        <v>1</v>
      </c>
      <c r="M559" s="270">
        <v>4</v>
      </c>
      <c r="N559" s="270">
        <v>0</v>
      </c>
      <c r="O559" s="270">
        <v>5</v>
      </c>
      <c r="P559" s="270">
        <v>1</v>
      </c>
      <c r="Q559" s="270">
        <v>2</v>
      </c>
      <c r="R559" s="270">
        <v>1</v>
      </c>
      <c r="S559" s="270">
        <v>0</v>
      </c>
      <c r="T559" s="270">
        <v>0</v>
      </c>
      <c r="U559" s="270">
        <v>1</v>
      </c>
      <c r="W559" s="270">
        <v>12</v>
      </c>
    </row>
    <row r="560" spans="1:23" x14ac:dyDescent="0.2">
      <c r="A560" s="226" t="s">
        <v>865</v>
      </c>
      <c r="G560" s="270">
        <v>43</v>
      </c>
      <c r="H560" s="270">
        <v>0</v>
      </c>
      <c r="I560" s="270">
        <v>19</v>
      </c>
      <c r="J560" s="270">
        <v>11</v>
      </c>
      <c r="K560" s="270">
        <v>0</v>
      </c>
      <c r="L560" s="270">
        <v>2</v>
      </c>
      <c r="M560" s="270">
        <v>0</v>
      </c>
      <c r="N560" s="270">
        <v>1</v>
      </c>
      <c r="O560" s="270">
        <v>5</v>
      </c>
      <c r="P560" s="270">
        <v>3</v>
      </c>
      <c r="Q560" s="270">
        <v>2</v>
      </c>
      <c r="R560" s="270">
        <v>0</v>
      </c>
      <c r="S560" s="270">
        <v>0</v>
      </c>
      <c r="T560" s="270">
        <v>0</v>
      </c>
      <c r="U560" s="270">
        <v>1</v>
      </c>
      <c r="W560" s="270">
        <v>30</v>
      </c>
    </row>
    <row r="561" spans="1:23" x14ac:dyDescent="0.2">
      <c r="A561" s="226" t="s">
        <v>866</v>
      </c>
      <c r="G561" s="270">
        <v>32</v>
      </c>
      <c r="H561" s="270">
        <v>1</v>
      </c>
      <c r="I561" s="270">
        <v>9</v>
      </c>
      <c r="J561" s="270">
        <v>0</v>
      </c>
      <c r="K561" s="270">
        <v>1</v>
      </c>
      <c r="L561" s="270">
        <v>4</v>
      </c>
      <c r="M561" s="270">
        <v>5</v>
      </c>
      <c r="N561" s="270">
        <v>5</v>
      </c>
      <c r="O561" s="270">
        <v>3</v>
      </c>
      <c r="P561" s="270">
        <v>1</v>
      </c>
      <c r="Q561" s="270">
        <v>0</v>
      </c>
      <c r="R561" s="270">
        <v>3</v>
      </c>
      <c r="S561" s="270">
        <v>0</v>
      </c>
      <c r="T561" s="270">
        <v>0</v>
      </c>
      <c r="U561" s="270">
        <v>0</v>
      </c>
      <c r="W561" s="270">
        <v>11</v>
      </c>
    </row>
    <row r="562" spans="1:23" x14ac:dyDescent="0.2">
      <c r="A562" s="226" t="s">
        <v>867</v>
      </c>
      <c r="G562" s="270">
        <v>24</v>
      </c>
      <c r="H562" s="270">
        <v>0</v>
      </c>
      <c r="I562" s="270">
        <v>11</v>
      </c>
      <c r="J562" s="270">
        <v>2</v>
      </c>
      <c r="K562" s="270">
        <v>0</v>
      </c>
      <c r="L562" s="270">
        <v>4</v>
      </c>
      <c r="M562" s="270">
        <v>1</v>
      </c>
      <c r="N562" s="270">
        <v>2</v>
      </c>
      <c r="O562" s="270">
        <v>2</v>
      </c>
      <c r="P562" s="270">
        <v>1</v>
      </c>
      <c r="Q562" s="270">
        <v>1</v>
      </c>
      <c r="R562" s="270">
        <v>0</v>
      </c>
      <c r="S562" s="270">
        <v>0</v>
      </c>
      <c r="T562" s="270">
        <v>0</v>
      </c>
      <c r="U562" s="270">
        <v>0</v>
      </c>
      <c r="W562" s="270">
        <v>13</v>
      </c>
    </row>
    <row r="563" spans="1:23" x14ac:dyDescent="0.2">
      <c r="A563" s="226" t="s">
        <v>868</v>
      </c>
      <c r="G563" s="270">
        <v>15</v>
      </c>
      <c r="H563" s="270">
        <v>0</v>
      </c>
      <c r="I563" s="270">
        <v>9</v>
      </c>
      <c r="J563" s="270">
        <v>0</v>
      </c>
      <c r="K563" s="270">
        <v>1</v>
      </c>
      <c r="L563" s="270">
        <v>0</v>
      </c>
      <c r="M563" s="270">
        <v>1</v>
      </c>
      <c r="N563" s="270">
        <v>0</v>
      </c>
      <c r="O563" s="270">
        <v>2</v>
      </c>
      <c r="P563" s="270">
        <v>2</v>
      </c>
      <c r="Q563" s="270">
        <v>0</v>
      </c>
      <c r="R563" s="270">
        <v>0</v>
      </c>
      <c r="S563" s="270">
        <v>0</v>
      </c>
      <c r="T563" s="270">
        <v>0</v>
      </c>
      <c r="U563" s="270">
        <v>0</v>
      </c>
      <c r="W563" s="270">
        <v>10</v>
      </c>
    </row>
    <row r="564" spans="1:23" x14ac:dyDescent="0.2">
      <c r="A564" s="226" t="s">
        <v>869</v>
      </c>
      <c r="G564" s="270">
        <v>18</v>
      </c>
      <c r="H564" s="270">
        <v>0</v>
      </c>
      <c r="I564" s="270">
        <v>3</v>
      </c>
      <c r="J564" s="270">
        <v>2</v>
      </c>
      <c r="K564" s="270">
        <v>2</v>
      </c>
      <c r="L564" s="270">
        <v>3</v>
      </c>
      <c r="M564" s="270">
        <v>4</v>
      </c>
      <c r="N564" s="270">
        <v>2</v>
      </c>
      <c r="O564" s="270">
        <v>0</v>
      </c>
      <c r="P564" s="270">
        <v>2</v>
      </c>
      <c r="Q564" s="270">
        <v>0</v>
      </c>
      <c r="R564" s="270">
        <v>0</v>
      </c>
      <c r="S564" s="270">
        <v>0</v>
      </c>
      <c r="T564" s="270">
        <v>0</v>
      </c>
      <c r="U564" s="270">
        <v>0</v>
      </c>
      <c r="W564" s="270">
        <v>6</v>
      </c>
    </row>
    <row r="565" spans="1:23" x14ac:dyDescent="0.2">
      <c r="A565" s="226" t="s">
        <v>870</v>
      </c>
      <c r="G565" s="270">
        <v>34</v>
      </c>
      <c r="H565" s="270">
        <v>1</v>
      </c>
      <c r="I565" s="270">
        <v>14</v>
      </c>
      <c r="J565" s="270">
        <v>2</v>
      </c>
      <c r="K565" s="270">
        <v>3</v>
      </c>
      <c r="L565" s="270">
        <v>4</v>
      </c>
      <c r="M565" s="270">
        <v>1</v>
      </c>
      <c r="N565" s="270">
        <v>2</v>
      </c>
      <c r="O565" s="270">
        <v>2</v>
      </c>
      <c r="P565" s="270">
        <v>2</v>
      </c>
      <c r="Q565" s="270">
        <v>1</v>
      </c>
      <c r="R565" s="270">
        <v>1</v>
      </c>
      <c r="S565" s="270">
        <v>1</v>
      </c>
      <c r="T565" s="270">
        <v>1</v>
      </c>
      <c r="U565" s="270">
        <v>1</v>
      </c>
      <c r="W565" s="270">
        <v>19</v>
      </c>
    </row>
    <row r="566" spans="1:23" x14ac:dyDescent="0.2">
      <c r="A566" s="226" t="s">
        <v>871</v>
      </c>
      <c r="G566" s="270">
        <v>47</v>
      </c>
      <c r="H566" s="270">
        <v>2</v>
      </c>
      <c r="I566" s="270">
        <v>34</v>
      </c>
      <c r="J566" s="270">
        <v>0</v>
      </c>
      <c r="K566" s="270">
        <v>1</v>
      </c>
      <c r="L566" s="270">
        <v>1</v>
      </c>
      <c r="M566" s="270">
        <v>2</v>
      </c>
      <c r="N566" s="270">
        <v>4</v>
      </c>
      <c r="O566" s="270">
        <v>2</v>
      </c>
      <c r="P566" s="270">
        <v>0</v>
      </c>
      <c r="Q566" s="270">
        <v>0</v>
      </c>
      <c r="R566" s="270">
        <v>0</v>
      </c>
      <c r="S566" s="270">
        <v>1</v>
      </c>
      <c r="T566" s="270">
        <v>1</v>
      </c>
      <c r="U566" s="270">
        <v>0</v>
      </c>
      <c r="W566" s="270">
        <v>37</v>
      </c>
    </row>
    <row r="567" spans="1:23" x14ac:dyDescent="0.2">
      <c r="A567" s="226" t="s">
        <v>872</v>
      </c>
      <c r="G567" s="270">
        <v>27</v>
      </c>
      <c r="H567" s="270">
        <v>1</v>
      </c>
      <c r="I567" s="270">
        <v>14</v>
      </c>
      <c r="J567" s="270">
        <v>1</v>
      </c>
      <c r="K567" s="270">
        <v>3</v>
      </c>
      <c r="L567" s="270">
        <v>2</v>
      </c>
      <c r="M567" s="270">
        <v>0</v>
      </c>
      <c r="N567" s="270">
        <v>1</v>
      </c>
      <c r="O567" s="270">
        <v>4</v>
      </c>
      <c r="P567" s="270">
        <v>0</v>
      </c>
      <c r="Q567" s="270">
        <v>1</v>
      </c>
      <c r="R567" s="270">
        <v>0</v>
      </c>
      <c r="S567" s="270">
        <v>0</v>
      </c>
      <c r="T567" s="270">
        <v>0</v>
      </c>
      <c r="U567" s="270">
        <v>1</v>
      </c>
      <c r="W567" s="270">
        <v>19</v>
      </c>
    </row>
    <row r="568" spans="1:23" x14ac:dyDescent="0.2"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</row>
    <row r="569" spans="1:23" x14ac:dyDescent="0.2">
      <c r="G569" s="270">
        <v>352</v>
      </c>
      <c r="H569" s="270">
        <v>10</v>
      </c>
      <c r="I569" s="270">
        <v>159</v>
      </c>
      <c r="J569" s="270">
        <v>22</v>
      </c>
      <c r="K569" s="270">
        <v>16</v>
      </c>
      <c r="L569" s="270">
        <v>28</v>
      </c>
      <c r="M569" s="270">
        <v>23</v>
      </c>
      <c r="N569" s="270">
        <v>23</v>
      </c>
      <c r="O569" s="270">
        <v>30</v>
      </c>
      <c r="P569" s="270">
        <v>15</v>
      </c>
      <c r="Q569" s="270">
        <v>10</v>
      </c>
      <c r="R569" s="270">
        <v>9</v>
      </c>
      <c r="S569" s="270">
        <v>7</v>
      </c>
      <c r="T569" s="270">
        <v>6</v>
      </c>
      <c r="U569" s="270">
        <v>6</v>
      </c>
      <c r="V569" s="270"/>
      <c r="W569" s="270">
        <f>SUM(W556:W568)</f>
        <v>205</v>
      </c>
    </row>
    <row r="570" spans="1:23" x14ac:dyDescent="0.2"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</row>
    <row r="571" spans="1:23" x14ac:dyDescent="0.2"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</row>
    <row r="572" spans="1:23" x14ac:dyDescent="0.2">
      <c r="G572" s="313"/>
      <c r="H572" s="314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7"/>
      <c r="T572" s="7"/>
      <c r="U572" s="7"/>
    </row>
  </sheetData>
  <conditionalFormatting sqref="AJ96:AJ122 AJ174:AJ218 AJ371:AJ406 AJ479:AJ507 AJ8:AJ40 AJ134:AJ162">
    <cfRule type="expression" dxfId="61" priority="45">
      <formula>IF((H8&lt;AH8),1,0)</formula>
    </cfRule>
    <cfRule type="expression" dxfId="60" priority="46">
      <formula>IF((H8&gt;AH8),1,0)</formula>
    </cfRule>
  </conditionalFormatting>
  <conditionalFormatting sqref="AJ52:AJ84">
    <cfRule type="expression" dxfId="59" priority="43">
      <formula>IF((H52&lt;AH52),1,0)</formula>
    </cfRule>
    <cfRule type="expression" dxfId="58" priority="44">
      <formula>IF((H52&gt;AH52),1,0)</formula>
    </cfRule>
  </conditionalFormatting>
  <conditionalFormatting sqref="AJ230:AJ263">
    <cfRule type="expression" dxfId="57" priority="35">
      <formula>IF((H230&lt;AH230),1,0)</formula>
    </cfRule>
    <cfRule type="expression" dxfId="56" priority="36">
      <formula>IF((H230&gt;AH230),1,0)</formula>
    </cfRule>
  </conditionalFormatting>
  <conditionalFormatting sqref="AJ275:AJ300">
    <cfRule type="expression" dxfId="55" priority="33">
      <formula>IF((H275&lt;AH275),1,0)</formula>
    </cfRule>
    <cfRule type="expression" dxfId="54" priority="34">
      <formula>IF((H275&gt;AH275),1,0)</formula>
    </cfRule>
  </conditionalFormatting>
  <conditionalFormatting sqref="AJ312:AJ328">
    <cfRule type="expression" dxfId="53" priority="31">
      <formula>IF((H312&lt;AH312),1,0)</formula>
    </cfRule>
    <cfRule type="expression" dxfId="52" priority="32">
      <formula>IF((H312&gt;AH312),1,0)</formula>
    </cfRule>
  </conditionalFormatting>
  <conditionalFormatting sqref="AJ340:AJ359">
    <cfRule type="expression" dxfId="51" priority="29">
      <formula>IF((H340&lt;AH340),1,0)</formula>
    </cfRule>
    <cfRule type="expression" dxfId="50" priority="30">
      <formula>IF((H340&gt;AH340),1,0)</formula>
    </cfRule>
  </conditionalFormatting>
  <conditionalFormatting sqref="AJ418:AJ467">
    <cfRule type="expression" dxfId="49" priority="25">
      <formula>IF((H418&lt;AH418),1,0)</formula>
    </cfRule>
    <cfRule type="expression" dxfId="48" priority="26">
      <formula>IF((H418&gt;AH418),1,0)</formula>
    </cfRule>
  </conditionalFormatting>
  <conditionalFormatting sqref="AJ509:AJ510">
    <cfRule type="expression" dxfId="47" priority="23">
      <formula>IF((H509&lt;AH509),1,0)</formula>
    </cfRule>
    <cfRule type="expression" dxfId="46" priority="24">
      <formula>IF((H509&gt;AH509),1,0)</formula>
    </cfRule>
  </conditionalFormatting>
  <conditionalFormatting sqref="AJ43">
    <cfRule type="expression" dxfId="45" priority="21">
      <formula>IF((H43&lt;AH43),1,0)</formula>
    </cfRule>
    <cfRule type="expression" dxfId="44" priority="22">
      <formula>IF((H43&gt;AH43),1,0)</formula>
    </cfRule>
  </conditionalFormatting>
  <conditionalFormatting sqref="AJ87">
    <cfRule type="expression" dxfId="43" priority="19">
      <formula>IF((H87&lt;AH87),1,0)</formula>
    </cfRule>
    <cfRule type="expression" dxfId="42" priority="20">
      <formula>IF((H87&gt;AH87),1,0)</formula>
    </cfRule>
  </conditionalFormatting>
  <conditionalFormatting sqref="AJ125">
    <cfRule type="expression" dxfId="41" priority="17">
      <formula>IF((H125&lt;AH125),1,0)</formula>
    </cfRule>
    <cfRule type="expression" dxfId="40" priority="18">
      <formula>IF((H125&gt;AH125),1,0)</formula>
    </cfRule>
  </conditionalFormatting>
  <conditionalFormatting sqref="AJ165">
    <cfRule type="expression" dxfId="39" priority="15">
      <formula>IF((H165&lt;AH165),1,0)</formula>
    </cfRule>
    <cfRule type="expression" dxfId="38" priority="16">
      <formula>IF((H165&gt;AH165),1,0)</formula>
    </cfRule>
  </conditionalFormatting>
  <conditionalFormatting sqref="AJ221">
    <cfRule type="expression" dxfId="37" priority="13">
      <formula>IF((H221&lt;AH221),1,0)</formula>
    </cfRule>
    <cfRule type="expression" dxfId="36" priority="14">
      <formula>IF((H221&gt;AH221),1,0)</formula>
    </cfRule>
  </conditionalFormatting>
  <conditionalFormatting sqref="AJ266">
    <cfRule type="expression" dxfId="35" priority="11">
      <formula>IF((H266&lt;AH266),1,0)</formula>
    </cfRule>
    <cfRule type="expression" dxfId="34" priority="12">
      <formula>IF((H266&gt;AH266),1,0)</formula>
    </cfRule>
  </conditionalFormatting>
  <conditionalFormatting sqref="AJ303">
    <cfRule type="expression" dxfId="33" priority="9">
      <formula>IF((H303&lt;AH303),1,0)</formula>
    </cfRule>
    <cfRule type="expression" dxfId="32" priority="10">
      <formula>IF((H303&gt;AH303),1,0)</formula>
    </cfRule>
  </conditionalFormatting>
  <conditionalFormatting sqref="AJ331">
    <cfRule type="expression" dxfId="31" priority="7">
      <formula>IF((H331&lt;AH331),1,0)</formula>
    </cfRule>
    <cfRule type="expression" dxfId="30" priority="8">
      <formula>IF((H331&gt;AH331),1,0)</formula>
    </cfRule>
  </conditionalFormatting>
  <conditionalFormatting sqref="AJ362">
    <cfRule type="expression" dxfId="29" priority="5">
      <formula>IF((H362&lt;AH362),1,0)</formula>
    </cfRule>
    <cfRule type="expression" dxfId="28" priority="6">
      <formula>IF((H362&gt;AH362),1,0)</formula>
    </cfRule>
  </conditionalFormatting>
  <conditionalFormatting sqref="AJ409">
    <cfRule type="expression" dxfId="27" priority="3">
      <formula>IF((H409&lt;AH409),1,0)</formula>
    </cfRule>
    <cfRule type="expression" dxfId="26" priority="4">
      <formula>IF((H409&gt;AH409),1,0)</formula>
    </cfRule>
  </conditionalFormatting>
  <conditionalFormatting sqref="AJ470">
    <cfRule type="expression" dxfId="25" priority="1">
      <formula>IF((H470&lt;AH470),1,0)</formula>
    </cfRule>
    <cfRule type="expression" dxfId="24" priority="2">
      <formula>IF((H470&gt;AH470),1,0)</formula>
    </cfRule>
  </conditionalFormatting>
  <printOptions horizontalCentered="1" gridLines="1"/>
  <pageMargins left="0.15748031496062992" right="0.11811023622047245" top="0.39370078740157483" bottom="0" header="0" footer="0"/>
  <pageSetup paperSize="9" scale="37" orientation="landscape" r:id="rId1"/>
  <rowBreaks count="11" manualBreakCount="11">
    <brk id="44" max="16383" man="1"/>
    <brk id="88" max="37" man="1"/>
    <brk id="126" max="37" man="1"/>
    <brk id="166" max="16383" man="1"/>
    <brk id="222" max="37" man="1"/>
    <brk id="267" max="37" man="1"/>
    <brk id="304" max="37" man="1"/>
    <brk id="332" max="37" man="1"/>
    <brk id="363" max="37" man="1"/>
    <brk id="410" max="37" man="1"/>
    <brk id="471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zoomScaleNormal="100" workbookViewId="0">
      <selection activeCell="G541" sqref="G541"/>
    </sheetView>
  </sheetViews>
  <sheetFormatPr defaultColWidth="7.77734375" defaultRowHeight="15" x14ac:dyDescent="0.2"/>
  <cols>
    <col min="1" max="1" width="16.6640625" style="30" customWidth="1"/>
    <col min="2" max="2" width="0.88671875" style="25" customWidth="1"/>
    <col min="3" max="3" width="9.109375" style="25" customWidth="1"/>
    <col min="4" max="4" width="0.88671875" style="25" customWidth="1"/>
    <col min="5" max="5" width="9.109375" style="25" customWidth="1"/>
    <col min="6" max="6" width="4.6640625" style="25" customWidth="1"/>
    <col min="7" max="7" width="9.109375" style="25" customWidth="1"/>
    <col min="8" max="8" width="0.88671875" style="25" customWidth="1"/>
    <col min="9" max="9" width="9.109375" style="25" customWidth="1"/>
    <col min="10" max="10" width="4.6640625" style="25" customWidth="1"/>
    <col min="11" max="11" width="9.109375" style="25" customWidth="1"/>
    <col min="12" max="12" width="0.88671875" style="25" customWidth="1"/>
    <col min="13" max="13" width="9.109375" style="25" customWidth="1"/>
    <col min="14" max="14" width="4.6640625" style="25" customWidth="1"/>
    <col min="15" max="15" width="9.109375" style="25" customWidth="1"/>
    <col min="16" max="16" width="0.88671875" style="25" customWidth="1"/>
    <col min="17" max="17" width="9.109375" style="25" customWidth="1"/>
    <col min="18" max="18" width="4.6640625" style="25" customWidth="1"/>
    <col min="19" max="19" width="9.109375" style="25" customWidth="1"/>
    <col min="20" max="20" width="0.88671875" style="25" customWidth="1"/>
    <col min="21" max="21" width="9.109375" style="25" customWidth="1"/>
    <col min="22" max="22" width="4.77734375" customWidth="1"/>
    <col min="23" max="23" width="9.21875" customWidth="1"/>
    <col min="24" max="24" width="0.88671875" customWidth="1"/>
    <col min="25" max="25" width="9.21875" customWidth="1"/>
    <col min="32" max="32" width="16.5546875" bestFit="1" customWidth="1"/>
    <col min="33" max="33" width="7.77734375" style="25"/>
    <col min="37" max="16384" width="7.77734375" style="25"/>
  </cols>
  <sheetData>
    <row r="1" spans="1:42" x14ac:dyDescent="0.25">
      <c r="A1" s="323" t="s">
        <v>1146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180"/>
      <c r="AA1" s="180"/>
      <c r="AB1" s="180"/>
      <c r="AC1" s="180"/>
      <c r="AD1" s="180"/>
      <c r="AE1" s="25"/>
      <c r="AF1" s="25"/>
      <c r="AH1" s="25"/>
      <c r="AI1" s="25"/>
      <c r="AJ1" s="25"/>
    </row>
    <row r="2" spans="1:42" x14ac:dyDescent="0.25">
      <c r="A2" s="323" t="s">
        <v>1214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180"/>
      <c r="AA2" s="180"/>
      <c r="AB2" s="180"/>
      <c r="AC2" s="180"/>
      <c r="AD2" s="180"/>
      <c r="AE2" s="25"/>
      <c r="AF2" s="25"/>
      <c r="AH2" s="25"/>
      <c r="AI2" s="25"/>
      <c r="AJ2" s="25"/>
    </row>
    <row r="3" spans="1:42" ht="15.75" x14ac:dyDescent="0.25">
      <c r="A3" s="26"/>
      <c r="Q3" s="29"/>
      <c r="T3" s="28"/>
    </row>
    <row r="4" spans="1:42" ht="15.75" x14ac:dyDescent="0.25">
      <c r="J4" s="35"/>
      <c r="K4" s="35"/>
      <c r="O4" s="35"/>
      <c r="P4" s="35"/>
      <c r="Q4" s="44"/>
      <c r="T4" s="28"/>
    </row>
    <row r="5" spans="1:42" ht="15.75" x14ac:dyDescent="0.25">
      <c r="A5" s="26" t="s">
        <v>854</v>
      </c>
      <c r="C5" s="320" t="s">
        <v>859</v>
      </c>
      <c r="D5" s="320"/>
      <c r="E5" s="320"/>
      <c r="F5" s="38"/>
      <c r="G5" s="320" t="s">
        <v>859</v>
      </c>
      <c r="H5" s="320"/>
      <c r="I5" s="320"/>
      <c r="J5" s="35"/>
      <c r="K5" s="320" t="s">
        <v>859</v>
      </c>
      <c r="L5" s="320"/>
      <c r="M5" s="320"/>
      <c r="O5" s="320" t="s">
        <v>859</v>
      </c>
      <c r="P5" s="320"/>
      <c r="Q5" s="320"/>
      <c r="S5" s="320" t="s">
        <v>859</v>
      </c>
      <c r="T5" s="320"/>
      <c r="U5" s="320"/>
      <c r="W5" s="320" t="s">
        <v>859</v>
      </c>
      <c r="X5" s="320"/>
      <c r="Y5" s="320"/>
    </row>
    <row r="6" spans="1:42" ht="15.75" x14ac:dyDescent="0.25">
      <c r="C6" s="320" t="s">
        <v>1058</v>
      </c>
      <c r="D6" s="320"/>
      <c r="E6" s="320"/>
      <c r="F6" s="27"/>
      <c r="G6" s="320" t="s">
        <v>1058</v>
      </c>
      <c r="H6" s="320"/>
      <c r="I6" s="320"/>
      <c r="J6" s="35"/>
      <c r="K6" s="320" t="s">
        <v>1058</v>
      </c>
      <c r="L6" s="320"/>
      <c r="M6" s="320"/>
      <c r="O6" s="320" t="s">
        <v>1058</v>
      </c>
      <c r="P6" s="320"/>
      <c r="Q6" s="320"/>
      <c r="S6" s="320" t="s">
        <v>1058</v>
      </c>
      <c r="T6" s="320"/>
      <c r="U6" s="320"/>
      <c r="W6" s="320" t="s">
        <v>1058</v>
      </c>
      <c r="X6" s="320"/>
      <c r="Y6" s="320"/>
    </row>
    <row r="7" spans="1:42" ht="15.75" x14ac:dyDescent="0.25">
      <c r="C7" s="321" t="s">
        <v>1095</v>
      </c>
      <c r="D7" s="322"/>
      <c r="E7" s="322"/>
      <c r="F7" s="27"/>
      <c r="G7" s="321" t="s">
        <v>1094</v>
      </c>
      <c r="H7" s="322"/>
      <c r="I7" s="322"/>
      <c r="J7" s="35"/>
      <c r="K7" s="321" t="s">
        <v>1093</v>
      </c>
      <c r="L7" s="322"/>
      <c r="M7" s="322"/>
      <c r="O7" s="321" t="s">
        <v>1092</v>
      </c>
      <c r="P7" s="322"/>
      <c r="Q7" s="322"/>
      <c r="S7" s="321" t="s">
        <v>1091</v>
      </c>
      <c r="T7" s="322"/>
      <c r="U7" s="322"/>
      <c r="W7" s="321" t="s">
        <v>1145</v>
      </c>
      <c r="X7" s="322"/>
      <c r="Y7" s="322"/>
    </row>
    <row r="8" spans="1:42" ht="15.75" x14ac:dyDescent="0.25">
      <c r="A8" s="30" t="s">
        <v>860</v>
      </c>
      <c r="B8" s="29"/>
      <c r="C8" s="44" t="s">
        <v>5</v>
      </c>
      <c r="D8" s="35"/>
      <c r="E8" s="44" t="s">
        <v>861</v>
      </c>
      <c r="G8" s="44" t="s">
        <v>5</v>
      </c>
      <c r="H8" s="35"/>
      <c r="I8" s="44" t="s">
        <v>861</v>
      </c>
      <c r="J8" s="35"/>
      <c r="K8" s="44" t="s">
        <v>5</v>
      </c>
      <c r="L8" s="35"/>
      <c r="M8" s="44" t="s">
        <v>861</v>
      </c>
      <c r="O8" s="44" t="s">
        <v>5</v>
      </c>
      <c r="P8" s="35"/>
      <c r="Q8" s="44" t="s">
        <v>861</v>
      </c>
      <c r="S8" s="29" t="s">
        <v>5</v>
      </c>
      <c r="T8" s="29"/>
      <c r="U8" s="29" t="s">
        <v>861</v>
      </c>
      <c r="W8" s="249" t="s">
        <v>5</v>
      </c>
      <c r="X8" s="249"/>
      <c r="Y8" s="249" t="s">
        <v>861</v>
      </c>
      <c r="AE8" t="s">
        <v>1118</v>
      </c>
      <c r="AG8" s="25" t="s">
        <v>1119</v>
      </c>
      <c r="AH8" t="s">
        <v>1120</v>
      </c>
      <c r="AI8" t="s">
        <v>1121</v>
      </c>
      <c r="AJ8" t="s">
        <v>1122</v>
      </c>
      <c r="AK8" s="25" t="s">
        <v>1123</v>
      </c>
      <c r="AL8" s="25" t="s">
        <v>1124</v>
      </c>
      <c r="AM8" s="25" t="s">
        <v>1125</v>
      </c>
      <c r="AN8" s="25" t="s">
        <v>1126</v>
      </c>
      <c r="AO8" s="25" t="s">
        <v>1152</v>
      </c>
      <c r="AP8" s="25" t="s">
        <v>1153</v>
      </c>
    </row>
    <row r="9" spans="1:42" ht="15.75" x14ac:dyDescent="0.25">
      <c r="B9" s="179"/>
      <c r="C9" s="44"/>
      <c r="D9" s="35"/>
      <c r="E9" s="44"/>
      <c r="G9" s="44"/>
      <c r="H9" s="35"/>
      <c r="I9" s="44"/>
      <c r="J9" s="35"/>
      <c r="K9" s="44"/>
      <c r="L9" s="35"/>
      <c r="M9" s="44"/>
      <c r="P9" s="35"/>
      <c r="Q9" s="44"/>
      <c r="S9" s="179"/>
      <c r="T9" s="179"/>
      <c r="U9" s="179"/>
    </row>
    <row r="10" spans="1:42" ht="21.75" customHeight="1" x14ac:dyDescent="0.2">
      <c r="A10" s="76" t="s">
        <v>880</v>
      </c>
      <c r="B10" s="48"/>
      <c r="C10" s="190">
        <v>410480</v>
      </c>
      <c r="D10" s="181"/>
      <c r="E10" s="182">
        <f t="shared" ref="E10:E21" si="0">ROUND((C10/C47),4)</f>
        <v>0.93500000000000005</v>
      </c>
      <c r="F10" s="48"/>
      <c r="G10" s="190">
        <v>434852</v>
      </c>
      <c r="H10" s="181"/>
      <c r="I10" s="182">
        <f t="shared" ref="I10:I21" si="1">ROUND((G10/G47),4)</f>
        <v>0.91979999999999995</v>
      </c>
      <c r="J10" s="35"/>
      <c r="K10" s="190">
        <v>473243</v>
      </c>
      <c r="L10" s="181"/>
      <c r="M10" s="182">
        <f t="shared" ref="M10:M21" si="2">ROUND((K10/K47),4)</f>
        <v>0.91839999999999999</v>
      </c>
      <c r="O10" s="190">
        <v>398327</v>
      </c>
      <c r="P10" s="181"/>
      <c r="Q10" s="182">
        <f t="shared" ref="Q10:Q21" si="3">ROUND((O10/O47),4)</f>
        <v>0.76429999999999998</v>
      </c>
      <c r="S10" s="183">
        <f>ROUND(('2022 detail'!AH40),0)</f>
        <v>359442</v>
      </c>
      <c r="T10" s="48"/>
      <c r="U10" s="182">
        <f t="shared" ref="U10:U21" si="4">ROUND((S10/S47),4)</f>
        <v>0.74590000000000001</v>
      </c>
      <c r="W10" s="183">
        <f>ROUND(('2022 detail'!H40),0)</f>
        <v>394129</v>
      </c>
      <c r="Y10" s="182">
        <f t="shared" ref="Y10:Y21" si="5">ROUND((W10/W47),4)</f>
        <v>0.81789999999999996</v>
      </c>
      <c r="AE10">
        <v>30</v>
      </c>
      <c r="AF10" s="76" t="s">
        <v>880</v>
      </c>
      <c r="AG10" s="25">
        <f>ROUND((C10/$AE10),0)</f>
        <v>13683</v>
      </c>
      <c r="AH10" s="180">
        <f t="shared" ref="AH10:AH21" si="6">ROUND((C47/$AE10),0)</f>
        <v>14633</v>
      </c>
      <c r="AI10" s="180">
        <f>ROUND((G10/$AE10),0)</f>
        <v>14495</v>
      </c>
      <c r="AJ10" s="180">
        <f t="shared" ref="AJ10:AJ21" si="7">ROUND((G47/$AE10),0)</f>
        <v>15758</v>
      </c>
      <c r="AK10" s="180">
        <f>ROUND((K10/$AE10),0)</f>
        <v>15775</v>
      </c>
      <c r="AL10" s="180">
        <f t="shared" ref="AL10:AL21" si="8">ROUND((K47/$AE10),0)</f>
        <v>17177</v>
      </c>
      <c r="AM10" s="180">
        <f t="shared" ref="AM10:AM20" si="9">ROUND((O11/$AE10),0)</f>
        <v>14726</v>
      </c>
      <c r="AN10" s="180">
        <f t="shared" ref="AN10:AN21" si="10">ROUND((O47/$AE10),0)</f>
        <v>17373</v>
      </c>
      <c r="AO10" s="180">
        <f t="shared" ref="AO10:AO21" si="11">ROUND((U47/$AE10),0)</f>
        <v>0</v>
      </c>
      <c r="AP10" s="180">
        <f t="shared" ref="AP10:AP21" si="12">ROUND((S47/$AE10),0)</f>
        <v>16063</v>
      </c>
    </row>
    <row r="11" spans="1:42" ht="21.75" customHeight="1" x14ac:dyDescent="0.2">
      <c r="A11" s="76" t="s">
        <v>862</v>
      </c>
      <c r="B11" s="48"/>
      <c r="C11" s="190">
        <v>423123</v>
      </c>
      <c r="D11" s="181"/>
      <c r="E11" s="182">
        <f t="shared" si="0"/>
        <v>0.89349999999999996</v>
      </c>
      <c r="F11" s="48"/>
      <c r="G11" s="190">
        <v>412035</v>
      </c>
      <c r="H11" s="181"/>
      <c r="I11" s="182">
        <f t="shared" si="1"/>
        <v>0.83809999999999996</v>
      </c>
      <c r="J11" s="35"/>
      <c r="K11" s="190">
        <v>437598</v>
      </c>
      <c r="L11" s="181"/>
      <c r="M11" s="182">
        <f t="shared" si="2"/>
        <v>0.85150000000000003</v>
      </c>
      <c r="O11" s="190">
        <v>441788</v>
      </c>
      <c r="P11" s="181"/>
      <c r="Q11" s="182">
        <f t="shared" si="3"/>
        <v>0.84299999999999997</v>
      </c>
      <c r="S11" s="184">
        <f>ROUND(('2022 detail'!AH84),0)</f>
        <v>394993</v>
      </c>
      <c r="T11" s="48"/>
      <c r="U11" s="182">
        <f t="shared" si="4"/>
        <v>0.75370000000000004</v>
      </c>
      <c r="W11" s="184">
        <f>ROUND(('2022 detail'!H84),0)</f>
        <v>415084</v>
      </c>
      <c r="Y11" s="182">
        <f t="shared" si="5"/>
        <v>0.79200000000000004</v>
      </c>
      <c r="AE11">
        <v>31</v>
      </c>
      <c r="AF11" s="76" t="s">
        <v>862</v>
      </c>
      <c r="AG11" s="180">
        <f t="shared" ref="AG11:AG21" si="13">ROUND((C11/$AE11),0)</f>
        <v>13649</v>
      </c>
      <c r="AH11" s="180">
        <f t="shared" si="6"/>
        <v>15276</v>
      </c>
      <c r="AI11" s="180">
        <f t="shared" ref="AI11:AI21" si="14">ROUND((G11/$AE11),0)</f>
        <v>13291</v>
      </c>
      <c r="AJ11" s="180">
        <f t="shared" si="7"/>
        <v>15858</v>
      </c>
      <c r="AK11" s="180">
        <f t="shared" ref="AK11:AK21" si="15">ROUND((K11/$AE11),0)</f>
        <v>14116</v>
      </c>
      <c r="AL11" s="180">
        <f t="shared" si="8"/>
        <v>16579</v>
      </c>
      <c r="AM11" s="180">
        <f t="shared" si="9"/>
        <v>11467</v>
      </c>
      <c r="AN11" s="180">
        <f t="shared" si="10"/>
        <v>16906</v>
      </c>
      <c r="AO11" s="180">
        <f t="shared" si="11"/>
        <v>0</v>
      </c>
      <c r="AP11" s="180">
        <f t="shared" si="12"/>
        <v>16906</v>
      </c>
    </row>
    <row r="12" spans="1:42" ht="21.75" customHeight="1" x14ac:dyDescent="0.2">
      <c r="A12" s="76" t="s">
        <v>863</v>
      </c>
      <c r="B12" s="48"/>
      <c r="C12" s="190">
        <v>371338</v>
      </c>
      <c r="D12" s="181"/>
      <c r="E12" s="182">
        <f t="shared" si="0"/>
        <v>0.91959999999999997</v>
      </c>
      <c r="F12" s="48"/>
      <c r="G12" s="190">
        <v>394804</v>
      </c>
      <c r="H12" s="181"/>
      <c r="I12" s="182">
        <f t="shared" si="1"/>
        <v>0.92889999999999995</v>
      </c>
      <c r="J12" s="35"/>
      <c r="K12" s="190">
        <v>398060</v>
      </c>
      <c r="L12" s="181"/>
      <c r="M12" s="182">
        <f t="shared" si="2"/>
        <v>0.89580000000000004</v>
      </c>
      <c r="O12" s="190">
        <v>355478</v>
      </c>
      <c r="P12" s="181"/>
      <c r="Q12" s="182">
        <f t="shared" si="3"/>
        <v>0.82289999999999996</v>
      </c>
      <c r="S12" s="184">
        <f>ROUND(('2022 detail'!AH122),0)</f>
        <v>330737</v>
      </c>
      <c r="T12" s="48"/>
      <c r="U12" s="182">
        <f t="shared" si="4"/>
        <v>0.76549999999999996</v>
      </c>
      <c r="W12" s="184">
        <f>ROUND(('2022 detail'!H122),0)</f>
        <v>355195</v>
      </c>
      <c r="Y12" s="182">
        <f t="shared" si="5"/>
        <v>0.82210000000000005</v>
      </c>
      <c r="AE12">
        <v>25</v>
      </c>
      <c r="AF12" s="76" t="s">
        <v>863</v>
      </c>
      <c r="AG12" s="180">
        <f t="shared" si="13"/>
        <v>14854</v>
      </c>
      <c r="AH12" s="180">
        <f t="shared" si="6"/>
        <v>16153</v>
      </c>
      <c r="AI12" s="180">
        <f t="shared" si="14"/>
        <v>15792</v>
      </c>
      <c r="AJ12" s="180">
        <f t="shared" si="7"/>
        <v>17001</v>
      </c>
      <c r="AK12" s="180">
        <f t="shared" si="15"/>
        <v>15922</v>
      </c>
      <c r="AL12" s="180">
        <f t="shared" si="8"/>
        <v>17774</v>
      </c>
      <c r="AM12" s="180">
        <f t="shared" si="9"/>
        <v>45484</v>
      </c>
      <c r="AN12" s="180">
        <f t="shared" si="10"/>
        <v>17279</v>
      </c>
      <c r="AO12" s="180">
        <f t="shared" si="11"/>
        <v>0</v>
      </c>
      <c r="AP12" s="180">
        <f t="shared" si="12"/>
        <v>17283</v>
      </c>
    </row>
    <row r="13" spans="1:42" ht="21.75" customHeight="1" x14ac:dyDescent="0.2">
      <c r="A13" s="76" t="s">
        <v>864</v>
      </c>
      <c r="B13" s="48"/>
      <c r="C13" s="190">
        <v>1236892</v>
      </c>
      <c r="D13" s="181"/>
      <c r="E13" s="182">
        <f t="shared" si="0"/>
        <v>0.89039999999999997</v>
      </c>
      <c r="F13" s="48"/>
      <c r="G13" s="190">
        <v>1204880</v>
      </c>
      <c r="H13" s="181"/>
      <c r="I13" s="182">
        <f t="shared" si="1"/>
        <v>0.82399999999999995</v>
      </c>
      <c r="J13" s="35"/>
      <c r="K13" s="190">
        <v>1221555</v>
      </c>
      <c r="L13" s="181"/>
      <c r="M13" s="182">
        <f t="shared" si="2"/>
        <v>0.80210000000000004</v>
      </c>
      <c r="O13" s="190">
        <v>1137089</v>
      </c>
      <c r="P13" s="181"/>
      <c r="Q13" s="182">
        <f t="shared" si="3"/>
        <v>0.75339999999999996</v>
      </c>
      <c r="S13" s="184">
        <f>ROUND(('2022 detail'!AH162),0)</f>
        <v>1095075</v>
      </c>
      <c r="T13" s="48"/>
      <c r="U13" s="182">
        <f t="shared" si="4"/>
        <v>0.72560000000000002</v>
      </c>
      <c r="W13" s="184">
        <f>ROUND(('2022 detail'!H162),0)</f>
        <v>1045781</v>
      </c>
      <c r="Y13" s="182">
        <f t="shared" si="5"/>
        <v>0.69820000000000004</v>
      </c>
      <c r="AE13">
        <v>26</v>
      </c>
      <c r="AF13" s="76" t="s">
        <v>864</v>
      </c>
      <c r="AG13" s="180">
        <f t="shared" si="13"/>
        <v>47573</v>
      </c>
      <c r="AH13" s="180">
        <f t="shared" si="6"/>
        <v>53431</v>
      </c>
      <c r="AI13" s="180">
        <f t="shared" si="14"/>
        <v>46342</v>
      </c>
      <c r="AJ13" s="180">
        <f t="shared" si="7"/>
        <v>56237</v>
      </c>
      <c r="AK13" s="180">
        <f t="shared" si="15"/>
        <v>46983</v>
      </c>
      <c r="AL13" s="180">
        <f t="shared" si="8"/>
        <v>58572</v>
      </c>
      <c r="AM13" s="180">
        <f t="shared" si="9"/>
        <v>17536</v>
      </c>
      <c r="AN13" s="180">
        <f t="shared" si="10"/>
        <v>58049</v>
      </c>
      <c r="AO13" s="180">
        <f t="shared" si="11"/>
        <v>0</v>
      </c>
      <c r="AP13" s="180">
        <f t="shared" si="12"/>
        <v>58049</v>
      </c>
    </row>
    <row r="14" spans="1:42" ht="21.75" customHeight="1" x14ac:dyDescent="0.2">
      <c r="A14" s="76" t="s">
        <v>865</v>
      </c>
      <c r="B14" s="48"/>
      <c r="C14" s="190">
        <v>467170</v>
      </c>
      <c r="D14" s="181"/>
      <c r="E14" s="182">
        <f t="shared" si="0"/>
        <v>0.81</v>
      </c>
      <c r="F14" s="48"/>
      <c r="G14" s="190">
        <v>484928</v>
      </c>
      <c r="H14" s="181"/>
      <c r="I14" s="182">
        <f t="shared" si="1"/>
        <v>0.86509999999999998</v>
      </c>
      <c r="J14" s="35"/>
      <c r="K14" s="190">
        <v>476448</v>
      </c>
      <c r="L14" s="181"/>
      <c r="M14" s="182">
        <f t="shared" si="2"/>
        <v>0.85619999999999996</v>
      </c>
      <c r="O14" s="190">
        <v>455945</v>
      </c>
      <c r="P14" s="181"/>
      <c r="Q14" s="182">
        <f t="shared" si="3"/>
        <v>0.75929999999999997</v>
      </c>
      <c r="S14" s="184">
        <f>ROUND(('2022 detail'!AH218),0)</f>
        <v>447029</v>
      </c>
      <c r="T14" s="48"/>
      <c r="U14" s="182">
        <f t="shared" si="4"/>
        <v>0.75609999999999999</v>
      </c>
      <c r="W14" s="184">
        <f>ROUND(('2022 detail'!H218),0)</f>
        <v>451202</v>
      </c>
      <c r="Y14" s="182">
        <f t="shared" si="5"/>
        <v>0.76300000000000001</v>
      </c>
      <c r="AE14">
        <v>43</v>
      </c>
      <c r="AF14" s="76" t="s">
        <v>865</v>
      </c>
      <c r="AG14" s="180">
        <f t="shared" si="13"/>
        <v>10864</v>
      </c>
      <c r="AH14" s="180">
        <f t="shared" si="6"/>
        <v>13413</v>
      </c>
      <c r="AI14" s="180">
        <f t="shared" si="14"/>
        <v>11277</v>
      </c>
      <c r="AJ14" s="180">
        <f t="shared" si="7"/>
        <v>13035</v>
      </c>
      <c r="AK14" s="180">
        <f t="shared" si="15"/>
        <v>11080</v>
      </c>
      <c r="AL14" s="180">
        <f t="shared" si="8"/>
        <v>12941</v>
      </c>
      <c r="AM14" s="180">
        <f t="shared" si="9"/>
        <v>12944</v>
      </c>
      <c r="AN14" s="180">
        <f t="shared" si="10"/>
        <v>13965</v>
      </c>
      <c r="AO14" s="180">
        <f t="shared" si="11"/>
        <v>0</v>
      </c>
      <c r="AP14" s="180">
        <f t="shared" si="12"/>
        <v>13750</v>
      </c>
    </row>
    <row r="15" spans="1:42" ht="21.75" customHeight="1" x14ac:dyDescent="0.2">
      <c r="A15" s="76" t="s">
        <v>866</v>
      </c>
      <c r="B15" s="48"/>
      <c r="C15" s="190">
        <v>695572</v>
      </c>
      <c r="D15" s="181"/>
      <c r="E15" s="182">
        <f t="shared" si="0"/>
        <v>0.87309999999999999</v>
      </c>
      <c r="F15" s="48"/>
      <c r="G15" s="190">
        <v>654124</v>
      </c>
      <c r="H15" s="181"/>
      <c r="I15" s="182">
        <f t="shared" si="1"/>
        <v>0.86599999999999999</v>
      </c>
      <c r="J15" s="35"/>
      <c r="K15" s="190">
        <v>693590</v>
      </c>
      <c r="L15" s="181"/>
      <c r="M15" s="182">
        <f t="shared" si="2"/>
        <v>0.87819999999999998</v>
      </c>
      <c r="O15" s="190">
        <v>556592</v>
      </c>
      <c r="P15" s="181"/>
      <c r="Q15" s="182">
        <f t="shared" si="3"/>
        <v>0.71960000000000002</v>
      </c>
      <c r="S15" s="184">
        <f>ROUND(('2022 detail'!AH263),0)</f>
        <v>577484</v>
      </c>
      <c r="T15" s="48"/>
      <c r="U15" s="182">
        <f t="shared" si="4"/>
        <v>0.74660000000000004</v>
      </c>
      <c r="W15" s="184">
        <f>ROUND(('2022 detail'!H263),0)</f>
        <v>592170</v>
      </c>
      <c r="Y15" s="182">
        <f t="shared" si="5"/>
        <v>0.76559999999999995</v>
      </c>
      <c r="AE15">
        <v>32</v>
      </c>
      <c r="AF15" s="76" t="s">
        <v>866</v>
      </c>
      <c r="AG15" s="180">
        <f t="shared" si="13"/>
        <v>21737</v>
      </c>
      <c r="AH15" s="180">
        <f t="shared" si="6"/>
        <v>24897</v>
      </c>
      <c r="AI15" s="180">
        <f t="shared" si="14"/>
        <v>20441</v>
      </c>
      <c r="AJ15" s="180">
        <f t="shared" si="7"/>
        <v>23606</v>
      </c>
      <c r="AK15" s="180">
        <f t="shared" si="15"/>
        <v>21675</v>
      </c>
      <c r="AL15" s="180">
        <f t="shared" si="8"/>
        <v>24680</v>
      </c>
      <c r="AM15" s="180">
        <f t="shared" si="9"/>
        <v>24053</v>
      </c>
      <c r="AN15" s="180">
        <f t="shared" si="10"/>
        <v>24172</v>
      </c>
      <c r="AO15" s="180">
        <f t="shared" si="11"/>
        <v>0</v>
      </c>
      <c r="AP15" s="180">
        <f t="shared" si="12"/>
        <v>24172</v>
      </c>
    </row>
    <row r="16" spans="1:42" ht="21.75" customHeight="1" x14ac:dyDescent="0.2">
      <c r="A16" s="76" t="s">
        <v>867</v>
      </c>
      <c r="B16" s="48"/>
      <c r="C16" s="190">
        <v>805180</v>
      </c>
      <c r="D16" s="181"/>
      <c r="E16" s="182">
        <f t="shared" si="0"/>
        <v>0.90700000000000003</v>
      </c>
      <c r="F16" s="48"/>
      <c r="G16" s="190">
        <v>835764</v>
      </c>
      <c r="H16" s="181"/>
      <c r="I16" s="182">
        <f t="shared" si="1"/>
        <v>0.90490000000000004</v>
      </c>
      <c r="J16" s="35"/>
      <c r="K16" s="190">
        <v>850187</v>
      </c>
      <c r="L16" s="181"/>
      <c r="M16" s="182">
        <f t="shared" si="2"/>
        <v>0.88700000000000001</v>
      </c>
      <c r="O16" s="190">
        <v>769699</v>
      </c>
      <c r="P16" s="181"/>
      <c r="Q16" s="182">
        <f t="shared" si="3"/>
        <v>0.86299999999999999</v>
      </c>
      <c r="S16" s="184">
        <f>ROUND(('2022 detail'!AH300),0)</f>
        <v>779972</v>
      </c>
      <c r="T16" s="48"/>
      <c r="U16" s="182">
        <f t="shared" si="4"/>
        <v>0.87450000000000006</v>
      </c>
      <c r="W16" s="184">
        <f>ROUND(('2022 detail'!H300),0)</f>
        <v>740919</v>
      </c>
      <c r="Y16" s="182">
        <f t="shared" si="5"/>
        <v>0.83069999999999999</v>
      </c>
      <c r="AE16">
        <v>24</v>
      </c>
      <c r="AF16" s="76" t="s">
        <v>867</v>
      </c>
      <c r="AG16" s="180">
        <f t="shared" si="13"/>
        <v>33549</v>
      </c>
      <c r="AH16" s="180">
        <f t="shared" si="6"/>
        <v>36988</v>
      </c>
      <c r="AI16" s="180">
        <f t="shared" si="14"/>
        <v>34824</v>
      </c>
      <c r="AJ16" s="180">
        <f t="shared" si="7"/>
        <v>38484</v>
      </c>
      <c r="AK16" s="180">
        <f t="shared" si="15"/>
        <v>35424</v>
      </c>
      <c r="AL16" s="180">
        <f t="shared" si="8"/>
        <v>39937</v>
      </c>
      <c r="AM16" s="180">
        <f t="shared" si="9"/>
        <v>17332</v>
      </c>
      <c r="AN16" s="180">
        <f t="shared" si="10"/>
        <v>37163</v>
      </c>
      <c r="AO16" s="180">
        <f t="shared" si="11"/>
        <v>0</v>
      </c>
      <c r="AP16" s="180">
        <f t="shared" si="12"/>
        <v>37163</v>
      </c>
    </row>
    <row r="17" spans="1:42" ht="21.75" customHeight="1" x14ac:dyDescent="0.2">
      <c r="A17" s="76" t="s">
        <v>868</v>
      </c>
      <c r="B17" s="48"/>
      <c r="C17" s="190">
        <v>487653</v>
      </c>
      <c r="D17" s="181"/>
      <c r="E17" s="182">
        <f t="shared" si="0"/>
        <v>0.93440000000000001</v>
      </c>
      <c r="F17" s="48"/>
      <c r="G17" s="190">
        <v>437044</v>
      </c>
      <c r="H17" s="181"/>
      <c r="I17" s="182">
        <f t="shared" si="1"/>
        <v>0.89319999999999999</v>
      </c>
      <c r="J17" s="35"/>
      <c r="K17" s="190">
        <v>440749</v>
      </c>
      <c r="L17" s="181"/>
      <c r="M17" s="182">
        <f t="shared" si="2"/>
        <v>0.85929999999999995</v>
      </c>
      <c r="O17" s="190">
        <v>415966</v>
      </c>
      <c r="P17" s="181"/>
      <c r="Q17" s="182">
        <f t="shared" si="3"/>
        <v>0.80220000000000002</v>
      </c>
      <c r="S17" s="184">
        <f>ROUND(('2022 detail'!AH328),0)</f>
        <v>449376</v>
      </c>
      <c r="T17" s="48"/>
      <c r="U17" s="182">
        <f t="shared" si="4"/>
        <v>0.86660000000000004</v>
      </c>
      <c r="W17" s="184">
        <f>ROUND(('2022 detail'!H328),0)</f>
        <v>418532</v>
      </c>
      <c r="Y17" s="182">
        <f t="shared" si="5"/>
        <v>0.80710000000000004</v>
      </c>
      <c r="AE17">
        <v>15</v>
      </c>
      <c r="AF17" s="76" t="s">
        <v>868</v>
      </c>
      <c r="AG17" s="180">
        <f t="shared" si="13"/>
        <v>32510</v>
      </c>
      <c r="AH17" s="180">
        <f t="shared" si="6"/>
        <v>34793</v>
      </c>
      <c r="AI17" s="180">
        <f t="shared" si="14"/>
        <v>29136</v>
      </c>
      <c r="AJ17" s="180">
        <f t="shared" si="7"/>
        <v>32621</v>
      </c>
      <c r="AK17" s="180">
        <f t="shared" si="15"/>
        <v>29383</v>
      </c>
      <c r="AL17" s="180">
        <f t="shared" si="8"/>
        <v>34195</v>
      </c>
      <c r="AM17" s="180">
        <f t="shared" si="9"/>
        <v>17068</v>
      </c>
      <c r="AN17" s="180">
        <f t="shared" si="10"/>
        <v>34569</v>
      </c>
      <c r="AO17" s="180">
        <f t="shared" si="11"/>
        <v>0</v>
      </c>
      <c r="AP17" s="180">
        <f t="shared" si="12"/>
        <v>34569</v>
      </c>
    </row>
    <row r="18" spans="1:42" ht="21.75" customHeight="1" x14ac:dyDescent="0.2">
      <c r="A18" s="76" t="s">
        <v>869</v>
      </c>
      <c r="B18" s="48"/>
      <c r="C18" s="190">
        <v>275711</v>
      </c>
      <c r="D18" s="181"/>
      <c r="E18" s="182">
        <f t="shared" si="0"/>
        <v>1</v>
      </c>
      <c r="F18" s="48"/>
      <c r="G18" s="190">
        <v>282081</v>
      </c>
      <c r="H18" s="181"/>
      <c r="I18" s="182">
        <f t="shared" si="1"/>
        <v>0.93899999999999995</v>
      </c>
      <c r="J18" s="35"/>
      <c r="K18" s="190">
        <v>292683</v>
      </c>
      <c r="L18" s="181"/>
      <c r="M18" s="182">
        <f t="shared" si="2"/>
        <v>0.92069999999999996</v>
      </c>
      <c r="O18" s="190">
        <v>256025</v>
      </c>
      <c r="P18" s="181"/>
      <c r="Q18" s="182">
        <f t="shared" si="3"/>
        <v>0.80979999999999996</v>
      </c>
      <c r="S18" s="184">
        <f>ROUND(('2022 detail'!AH359),0)</f>
        <v>261644</v>
      </c>
      <c r="T18" s="48"/>
      <c r="U18" s="182">
        <f t="shared" si="4"/>
        <v>0.8276</v>
      </c>
      <c r="W18" s="184">
        <f>ROUND(('2022 detail'!H359),0)</f>
        <v>259080</v>
      </c>
      <c r="Y18" s="182">
        <f t="shared" si="5"/>
        <v>0.81950000000000001</v>
      </c>
      <c r="AE18">
        <v>18</v>
      </c>
      <c r="AF18" s="76" t="s">
        <v>869</v>
      </c>
      <c r="AG18" s="180">
        <f t="shared" si="13"/>
        <v>15317</v>
      </c>
      <c r="AH18" s="180">
        <f t="shared" si="6"/>
        <v>15317</v>
      </c>
      <c r="AI18" s="180">
        <f t="shared" si="14"/>
        <v>15671</v>
      </c>
      <c r="AJ18" s="180">
        <f t="shared" si="7"/>
        <v>16689</v>
      </c>
      <c r="AK18" s="180">
        <f t="shared" si="15"/>
        <v>16260</v>
      </c>
      <c r="AL18" s="180">
        <f t="shared" si="8"/>
        <v>17661</v>
      </c>
      <c r="AM18" s="180">
        <f t="shared" si="9"/>
        <v>24665</v>
      </c>
      <c r="AN18" s="180">
        <f t="shared" si="10"/>
        <v>17564</v>
      </c>
      <c r="AO18" s="180">
        <f t="shared" si="11"/>
        <v>0</v>
      </c>
      <c r="AP18" s="180">
        <f t="shared" si="12"/>
        <v>17564</v>
      </c>
    </row>
    <row r="19" spans="1:42" ht="21.75" customHeight="1" x14ac:dyDescent="0.2">
      <c r="A19" s="76" t="s">
        <v>870</v>
      </c>
      <c r="B19" s="48"/>
      <c r="C19" s="190">
        <v>473646</v>
      </c>
      <c r="D19" s="181"/>
      <c r="E19" s="182">
        <f t="shared" si="0"/>
        <v>0.99</v>
      </c>
      <c r="F19" s="48"/>
      <c r="G19" s="190">
        <v>482275</v>
      </c>
      <c r="H19" s="181"/>
      <c r="I19" s="182">
        <f t="shared" si="1"/>
        <v>0.96830000000000005</v>
      </c>
      <c r="J19" s="35"/>
      <c r="K19" s="190">
        <v>509935</v>
      </c>
      <c r="L19" s="181"/>
      <c r="M19" s="182">
        <f t="shared" si="2"/>
        <v>0.97270000000000001</v>
      </c>
      <c r="O19" s="190">
        <v>443978</v>
      </c>
      <c r="P19" s="181"/>
      <c r="Q19" s="182">
        <f t="shared" si="3"/>
        <v>0.82430000000000003</v>
      </c>
      <c r="S19" s="184">
        <f>ROUND(('2022 detail'!AH406),0)</f>
        <v>458694</v>
      </c>
      <c r="T19" s="48"/>
      <c r="U19" s="182">
        <f t="shared" si="4"/>
        <v>0.85160000000000002</v>
      </c>
      <c r="W19" s="184">
        <f>ROUND(('2022 detail'!H406),0)</f>
        <v>450064</v>
      </c>
      <c r="Y19" s="182">
        <f t="shared" si="5"/>
        <v>0.83560000000000001</v>
      </c>
      <c r="AE19">
        <v>34</v>
      </c>
      <c r="AF19" s="76" t="s">
        <v>870</v>
      </c>
      <c r="AG19" s="180">
        <f t="shared" si="13"/>
        <v>13931</v>
      </c>
      <c r="AH19" s="180">
        <f t="shared" si="6"/>
        <v>14072</v>
      </c>
      <c r="AI19" s="180">
        <f t="shared" si="14"/>
        <v>14185</v>
      </c>
      <c r="AJ19" s="180">
        <f t="shared" si="7"/>
        <v>14650</v>
      </c>
      <c r="AK19" s="180">
        <f t="shared" si="15"/>
        <v>14998</v>
      </c>
      <c r="AL19" s="180">
        <f t="shared" si="8"/>
        <v>15419</v>
      </c>
      <c r="AM19" s="180">
        <f t="shared" si="9"/>
        <v>17386</v>
      </c>
      <c r="AN19" s="180">
        <f t="shared" si="10"/>
        <v>15842</v>
      </c>
      <c r="AO19" s="180">
        <f t="shared" si="11"/>
        <v>0</v>
      </c>
      <c r="AP19" s="180">
        <f t="shared" si="12"/>
        <v>15842</v>
      </c>
    </row>
    <row r="20" spans="1:42" ht="21.75" customHeight="1" x14ac:dyDescent="0.2">
      <c r="A20" s="76" t="s">
        <v>871</v>
      </c>
      <c r="B20" s="48"/>
      <c r="C20" s="190">
        <v>612024</v>
      </c>
      <c r="D20" s="181"/>
      <c r="E20" s="182">
        <f t="shared" si="0"/>
        <v>0.95579999999999998</v>
      </c>
      <c r="F20" s="48"/>
      <c r="G20" s="190">
        <v>631948</v>
      </c>
      <c r="H20" s="181"/>
      <c r="I20" s="182">
        <f t="shared" si="1"/>
        <v>0.9577</v>
      </c>
      <c r="J20" s="35"/>
      <c r="K20" s="190">
        <v>659337</v>
      </c>
      <c r="L20" s="181"/>
      <c r="M20" s="182">
        <f t="shared" si="2"/>
        <v>0.9496</v>
      </c>
      <c r="O20" s="190">
        <v>591125</v>
      </c>
      <c r="P20" s="181"/>
      <c r="Q20" s="182">
        <f t="shared" si="3"/>
        <v>0.93730000000000002</v>
      </c>
      <c r="S20" s="184">
        <f>ROUND(('2022 detail'!AH467),0)</f>
        <v>600704</v>
      </c>
      <c r="T20" s="48"/>
      <c r="U20" s="182">
        <f t="shared" si="4"/>
        <v>0.96399999999999997</v>
      </c>
      <c r="W20" s="184">
        <f>ROUND(('2022 detail'!H467),0)</f>
        <v>592229</v>
      </c>
      <c r="Y20" s="182">
        <f t="shared" si="5"/>
        <v>0.95889999999999997</v>
      </c>
      <c r="AE20">
        <v>47</v>
      </c>
      <c r="AF20" s="76" t="s">
        <v>871</v>
      </c>
      <c r="AG20" s="180">
        <f t="shared" si="13"/>
        <v>13022</v>
      </c>
      <c r="AH20" s="180">
        <f t="shared" si="6"/>
        <v>13625</v>
      </c>
      <c r="AI20" s="180">
        <f t="shared" si="14"/>
        <v>13446</v>
      </c>
      <c r="AJ20" s="180">
        <f t="shared" si="7"/>
        <v>14040</v>
      </c>
      <c r="AK20" s="180">
        <f t="shared" si="15"/>
        <v>14028</v>
      </c>
      <c r="AL20" s="180">
        <f t="shared" si="8"/>
        <v>14772</v>
      </c>
      <c r="AM20" s="180">
        <f t="shared" si="9"/>
        <v>17665</v>
      </c>
      <c r="AN20" s="180">
        <f t="shared" si="10"/>
        <v>13419</v>
      </c>
      <c r="AO20" s="180">
        <f t="shared" si="11"/>
        <v>0</v>
      </c>
      <c r="AP20" s="180">
        <f t="shared" si="12"/>
        <v>13259</v>
      </c>
    </row>
    <row r="21" spans="1:42" ht="21.75" customHeight="1" x14ac:dyDescent="0.2">
      <c r="A21" s="76" t="s">
        <v>872</v>
      </c>
      <c r="B21" s="48"/>
      <c r="C21" s="190">
        <v>788239</v>
      </c>
      <c r="D21" s="181"/>
      <c r="E21" s="182">
        <f t="shared" si="0"/>
        <v>0.90610000000000002</v>
      </c>
      <c r="F21" s="48"/>
      <c r="G21" s="190">
        <v>841054</v>
      </c>
      <c r="H21" s="181"/>
      <c r="I21" s="182">
        <f t="shared" si="1"/>
        <v>0.90569999999999995</v>
      </c>
      <c r="J21" s="35"/>
      <c r="K21" s="190">
        <v>871161</v>
      </c>
      <c r="L21" s="181"/>
      <c r="M21" s="182">
        <f t="shared" si="2"/>
        <v>0.89490000000000003</v>
      </c>
      <c r="O21" s="190">
        <v>830264</v>
      </c>
      <c r="P21" s="181"/>
      <c r="Q21" s="182">
        <f t="shared" si="3"/>
        <v>0.89049999999999996</v>
      </c>
      <c r="S21" s="184">
        <f>ROUND(('2022 detail'!AH507),0)</f>
        <v>832843</v>
      </c>
      <c r="T21" s="48"/>
      <c r="U21" s="182">
        <f t="shared" si="4"/>
        <v>0.89319999999999999</v>
      </c>
      <c r="W21" s="184">
        <f>ROUND(('2022 detail'!H507),0)</f>
        <v>844892</v>
      </c>
      <c r="Y21" s="182">
        <f t="shared" si="5"/>
        <v>0.90610000000000002</v>
      </c>
      <c r="AE21">
        <v>27</v>
      </c>
      <c r="AF21" s="76" t="s">
        <v>872</v>
      </c>
      <c r="AG21" s="180">
        <f t="shared" si="13"/>
        <v>29194</v>
      </c>
      <c r="AH21" s="180">
        <f t="shared" si="6"/>
        <v>32221</v>
      </c>
      <c r="AI21" s="180">
        <f t="shared" si="14"/>
        <v>31150</v>
      </c>
      <c r="AJ21" s="180">
        <f t="shared" si="7"/>
        <v>34393</v>
      </c>
      <c r="AK21" s="180">
        <f t="shared" si="15"/>
        <v>32265</v>
      </c>
      <c r="AL21" s="180">
        <f t="shared" si="8"/>
        <v>36054</v>
      </c>
      <c r="AM21" s="180">
        <f>ROUND((O58/$AE21),0)</f>
        <v>34533</v>
      </c>
      <c r="AN21" s="180">
        <f t="shared" si="10"/>
        <v>34533</v>
      </c>
      <c r="AO21" s="180">
        <f t="shared" si="11"/>
        <v>0</v>
      </c>
      <c r="AP21" s="180">
        <f t="shared" si="12"/>
        <v>34533</v>
      </c>
    </row>
    <row r="22" spans="1:42" x14ac:dyDescent="0.2">
      <c r="A22" s="45"/>
      <c r="B22" s="48"/>
      <c r="C22" s="191"/>
      <c r="D22" s="181"/>
      <c r="E22" s="182"/>
      <c r="F22" s="48"/>
      <c r="G22" s="191"/>
      <c r="H22" s="181"/>
      <c r="I22" s="182"/>
      <c r="J22" s="35"/>
      <c r="K22" s="191"/>
      <c r="L22" s="181"/>
      <c r="M22" s="182"/>
      <c r="O22" s="191"/>
      <c r="P22" s="181"/>
      <c r="Q22" s="182"/>
      <c r="S22" s="184"/>
      <c r="T22" s="48"/>
      <c r="U22" s="74"/>
      <c r="Y22" s="74"/>
      <c r="AF22" s="76"/>
    </row>
    <row r="23" spans="1:42" ht="15.75" thickBot="1" x14ac:dyDescent="0.25">
      <c r="A23" s="45"/>
      <c r="B23" s="54"/>
      <c r="C23" s="185">
        <f>SUM(C10:C22)</f>
        <v>7047028</v>
      </c>
      <c r="D23" s="54"/>
      <c r="E23" s="75">
        <f>ROUND((C23/C60),4)</f>
        <v>0.90890000000000004</v>
      </c>
      <c r="F23" s="54"/>
      <c r="G23" s="185">
        <f>SUM(G10:G22)</f>
        <v>7095789</v>
      </c>
      <c r="H23" s="54"/>
      <c r="I23" s="75">
        <f>ROUND((G23/G60),4)</f>
        <v>0.89059999999999995</v>
      </c>
      <c r="J23" s="35"/>
      <c r="K23" s="185">
        <f>SUM(K10:K22)</f>
        <v>7324546</v>
      </c>
      <c r="L23" s="54"/>
      <c r="M23" s="75">
        <f>ROUND((K23/K60),4)</f>
        <v>0.87990000000000002</v>
      </c>
      <c r="O23" s="185">
        <f>SUM(O10:O22)</f>
        <v>6652276</v>
      </c>
      <c r="P23" s="56"/>
      <c r="Q23" s="257">
        <f t="shared" ref="Q23" si="16">ROUND((O23/O60),4)</f>
        <v>0.81240000000000001</v>
      </c>
      <c r="S23" s="185">
        <f>SUM(S10:S22)</f>
        <v>6587993</v>
      </c>
      <c r="T23" s="54"/>
      <c r="U23" s="257">
        <f>ROUND((S23/S60),4)</f>
        <v>0.81</v>
      </c>
      <c r="W23" s="185">
        <f>SUM(W10:W22)</f>
        <v>6559277</v>
      </c>
      <c r="Y23" s="257">
        <f>ROUND((W23/W60),4)</f>
        <v>0.80820000000000003</v>
      </c>
      <c r="AE23">
        <f>SUM(AE10:AE22)</f>
        <v>352</v>
      </c>
      <c r="AF23" s="76"/>
      <c r="AG23" s="25">
        <f>ROUND((C23/$AE$23),0)</f>
        <v>20020</v>
      </c>
      <c r="AH23" s="180">
        <f>ROUND((G23/$AE$23),0)</f>
        <v>20158</v>
      </c>
      <c r="AI23" s="180">
        <f>ROUND((K23/$AE$23),0)</f>
        <v>20808</v>
      </c>
      <c r="AJ23" s="180">
        <f>ROUND((O23/$AE$23),0)</f>
        <v>18899</v>
      </c>
      <c r="AK23" s="180"/>
      <c r="AL23" s="180"/>
      <c r="AN23" s="180"/>
    </row>
    <row r="24" spans="1:42" ht="15.75" thickTop="1" x14ac:dyDescent="0.2">
      <c r="A24" s="45"/>
      <c r="C24" s="189"/>
      <c r="D24" s="35"/>
      <c r="E24" s="59"/>
      <c r="G24" s="189"/>
      <c r="H24" s="35"/>
      <c r="I24" s="59"/>
      <c r="J24" s="35"/>
      <c r="K24" s="189"/>
      <c r="L24" s="35"/>
      <c r="M24" s="59"/>
      <c r="O24" s="189"/>
      <c r="P24" s="35"/>
      <c r="Q24" s="59"/>
      <c r="S24" s="186"/>
      <c r="U24" s="58"/>
      <c r="Y24" s="69"/>
      <c r="AF24" s="76"/>
    </row>
    <row r="25" spans="1:42" x14ac:dyDescent="0.2">
      <c r="A25" s="45"/>
      <c r="C25" s="189"/>
      <c r="D25" s="35"/>
      <c r="E25" s="59"/>
      <c r="G25" s="189"/>
      <c r="H25" s="35"/>
      <c r="I25" s="59"/>
      <c r="J25" s="35"/>
      <c r="K25" s="189"/>
      <c r="L25" s="35"/>
      <c r="M25" s="59"/>
      <c r="O25" s="189"/>
      <c r="P25" s="35"/>
      <c r="Q25" s="59"/>
      <c r="S25" s="186"/>
      <c r="U25" s="58"/>
      <c r="W25" s="124"/>
    </row>
    <row r="26" spans="1:42" ht="15.75" x14ac:dyDescent="0.25">
      <c r="A26" s="26" t="s">
        <v>873</v>
      </c>
      <c r="C26" s="189"/>
      <c r="D26" s="35"/>
      <c r="E26" s="35"/>
      <c r="G26" s="189"/>
      <c r="H26" s="35"/>
      <c r="I26" s="35"/>
      <c r="J26" s="35"/>
      <c r="K26" s="189"/>
      <c r="L26" s="35"/>
      <c r="M26" s="35"/>
      <c r="O26" s="189"/>
      <c r="P26" s="35"/>
      <c r="Q26" s="35"/>
      <c r="S26" s="187"/>
      <c r="U26" s="58"/>
    </row>
    <row r="27" spans="1:42" x14ac:dyDescent="0.2">
      <c r="A27" s="45"/>
      <c r="C27" s="189"/>
      <c r="D27" s="35"/>
      <c r="E27" s="35"/>
      <c r="G27" s="189"/>
      <c r="H27" s="35"/>
      <c r="I27" s="35"/>
      <c r="J27" s="35"/>
      <c r="K27" s="189"/>
      <c r="L27" s="35"/>
      <c r="M27" s="35"/>
      <c r="O27" s="189"/>
      <c r="P27" s="35"/>
      <c r="Q27" s="35"/>
      <c r="S27" s="187"/>
      <c r="U27" s="58"/>
    </row>
    <row r="28" spans="1:42" ht="21.75" customHeight="1" x14ac:dyDescent="0.2">
      <c r="A28" s="76" t="s">
        <v>874</v>
      </c>
      <c r="B28" s="48"/>
      <c r="C28" s="183">
        <f>SUM(C10:C15)</f>
        <v>3604575</v>
      </c>
      <c r="D28" s="181"/>
      <c r="E28" s="182">
        <f>ROUND((C28/C63),4)</f>
        <v>0.88370000000000004</v>
      </c>
      <c r="F28" s="48"/>
      <c r="G28" s="183">
        <f>SUM(G10:G15)</f>
        <v>3585623</v>
      </c>
      <c r="H28" s="181"/>
      <c r="I28" s="182">
        <f>ROUND((G28/G63),4)</f>
        <v>0.86040000000000005</v>
      </c>
      <c r="J28" s="35"/>
      <c r="K28" s="183">
        <f>SUM(K10:K15)</f>
        <v>3700494</v>
      </c>
      <c r="L28" s="181"/>
      <c r="M28" s="182">
        <f>ROUND((K28/K63),4)</f>
        <v>0.85209999999999997</v>
      </c>
      <c r="O28" s="183">
        <f>SUM(O10:O15)</f>
        <v>3345219</v>
      </c>
      <c r="P28" s="181"/>
      <c r="Q28" s="74">
        <f>ROUND((O28/O63),4)</f>
        <v>0.76719999999999999</v>
      </c>
      <c r="S28" s="183">
        <f>SUM(S10:S15)</f>
        <v>3204760</v>
      </c>
      <c r="T28" s="48"/>
      <c r="U28" s="74">
        <f>ROUND((S28/S63),4)</f>
        <v>0.74319999999999997</v>
      </c>
      <c r="W28" s="183">
        <f>SUM(W10:W15)</f>
        <v>3253561</v>
      </c>
      <c r="X28" s="48"/>
      <c r="Y28" s="74">
        <f>ROUND((W28/W63),4)</f>
        <v>0.75649999999999995</v>
      </c>
    </row>
    <row r="29" spans="1:42" ht="21.75" customHeight="1" x14ac:dyDescent="0.2">
      <c r="A29" s="76" t="s">
        <v>875</v>
      </c>
      <c r="B29" s="48"/>
      <c r="C29" s="183">
        <f>SUM(C16:C21)</f>
        <v>3442453</v>
      </c>
      <c r="D29" s="181"/>
      <c r="E29" s="182">
        <f>ROUND((C29/C64),4)</f>
        <v>0.93700000000000006</v>
      </c>
      <c r="F29" s="48"/>
      <c r="G29" s="183">
        <f>SUM(G16:G21)</f>
        <v>3510166</v>
      </c>
      <c r="H29" s="181"/>
      <c r="I29" s="182">
        <f>ROUND((G29/G64),4)</f>
        <v>0.92369999999999997</v>
      </c>
      <c r="J29" s="35"/>
      <c r="K29" s="183">
        <f>SUM(K16:K21)</f>
        <v>3624052</v>
      </c>
      <c r="L29" s="181"/>
      <c r="M29" s="182">
        <f>ROUND((K29/K64),4)</f>
        <v>0.9103</v>
      </c>
      <c r="O29" s="183">
        <f>SUM(O16:O21)</f>
        <v>3307057</v>
      </c>
      <c r="P29" s="181"/>
      <c r="Q29" s="74">
        <f>ROUND((O29/O64),4)</f>
        <v>0.86380000000000001</v>
      </c>
      <c r="S29" s="183">
        <f>SUM(S16:S21)</f>
        <v>3383233</v>
      </c>
      <c r="T29" s="48"/>
      <c r="U29" s="74">
        <f>ROUND((S29/S64),4)</f>
        <v>0.88549999999999995</v>
      </c>
      <c r="W29" s="183">
        <f>SUM(W16:W21)</f>
        <v>3305716</v>
      </c>
      <c r="X29" s="48"/>
      <c r="Y29" s="74">
        <f>ROUND((W29/W64),4)</f>
        <v>0.86639999999999995</v>
      </c>
    </row>
    <row r="30" spans="1:42" x14ac:dyDescent="0.2">
      <c r="A30" s="45"/>
      <c r="C30" s="192"/>
      <c r="D30" s="35"/>
      <c r="E30" s="61"/>
      <c r="G30" s="192"/>
      <c r="H30" s="35"/>
      <c r="I30" s="61"/>
      <c r="J30" s="35"/>
      <c r="K30" s="192"/>
      <c r="L30" s="35"/>
      <c r="M30" s="61"/>
      <c r="O30" s="192"/>
      <c r="P30" s="35"/>
      <c r="S30" s="187"/>
      <c r="W30" s="187"/>
      <c r="X30" s="180"/>
      <c r="Y30" s="180"/>
    </row>
    <row r="31" spans="1:42" ht="15.75" thickBot="1" x14ac:dyDescent="0.25">
      <c r="A31" s="76" t="s">
        <v>855</v>
      </c>
      <c r="C31" s="188">
        <f>SUM(C28:C30)</f>
        <v>7047028</v>
      </c>
      <c r="E31" s="75">
        <f>ROUND((C31/C66),4)</f>
        <v>0.90890000000000004</v>
      </c>
      <c r="G31" s="188">
        <f>SUM(G28:G30)</f>
        <v>7095789</v>
      </c>
      <c r="I31" s="75">
        <f>ROUND((G31/G66),4)</f>
        <v>0.89059999999999995</v>
      </c>
      <c r="J31" s="35"/>
      <c r="K31" s="188">
        <f>SUM(K28:K30)</f>
        <v>7324546</v>
      </c>
      <c r="M31" s="75">
        <f>ROUND((K31/K66),4)</f>
        <v>0.87990000000000002</v>
      </c>
      <c r="O31" s="188">
        <f>SUM(O28:O30)</f>
        <v>6652276</v>
      </c>
      <c r="Q31" s="75">
        <f>ROUND((O31/O66),4)</f>
        <v>0.81240000000000001</v>
      </c>
      <c r="S31" s="188">
        <f>SUM(S28:S30)</f>
        <v>6587993</v>
      </c>
      <c r="U31" s="75">
        <f>ROUND((S31/S66),4)</f>
        <v>0.81</v>
      </c>
      <c r="W31" s="188">
        <f>SUM(W28:W30)</f>
        <v>6559277</v>
      </c>
      <c r="X31" s="180"/>
      <c r="Y31" s="75">
        <f>ROUND((W31/W66),4)</f>
        <v>0.80820000000000003</v>
      </c>
    </row>
    <row r="32" spans="1:42" s="180" customFormat="1" ht="15.75" thickTop="1" x14ac:dyDescent="0.2">
      <c r="A32" s="76"/>
      <c r="C32" s="189"/>
      <c r="E32" s="293"/>
      <c r="G32" s="189"/>
      <c r="I32" s="293"/>
      <c r="J32" s="63"/>
      <c r="K32" s="189"/>
      <c r="M32" s="293"/>
      <c r="O32" s="189"/>
      <c r="Q32" s="293"/>
      <c r="S32" s="189"/>
      <c r="U32" s="293"/>
      <c r="V32"/>
      <c r="W32" s="189"/>
      <c r="Y32" s="293"/>
      <c r="Z32"/>
      <c r="AA32"/>
      <c r="AB32"/>
      <c r="AC32"/>
      <c r="AD32"/>
      <c r="AE32"/>
      <c r="AF32"/>
      <c r="AH32"/>
      <c r="AI32"/>
      <c r="AJ32"/>
    </row>
    <row r="33" spans="1:38" s="180" customFormat="1" x14ac:dyDescent="0.2">
      <c r="A33" s="76"/>
      <c r="C33" s="189"/>
      <c r="E33" s="293"/>
      <c r="G33" s="189"/>
      <c r="I33" s="293"/>
      <c r="J33" s="63"/>
      <c r="K33" s="189"/>
      <c r="M33" s="293"/>
      <c r="O33" s="189"/>
      <c r="Q33" s="293"/>
      <c r="S33" s="189"/>
      <c r="U33" s="293"/>
      <c r="V33"/>
      <c r="W33" s="189"/>
      <c r="Y33" s="293"/>
      <c r="Z33"/>
      <c r="AA33"/>
      <c r="AB33"/>
      <c r="AC33"/>
      <c r="AD33"/>
      <c r="AE33"/>
      <c r="AF33"/>
      <c r="AH33"/>
      <c r="AI33"/>
      <c r="AJ33"/>
    </row>
    <row r="34" spans="1:38" s="180" customFormat="1" x14ac:dyDescent="0.2">
      <c r="A34" s="76"/>
      <c r="C34" s="189"/>
      <c r="E34" s="293"/>
      <c r="G34" s="189"/>
      <c r="I34" s="293"/>
      <c r="J34" s="63"/>
      <c r="K34" s="189"/>
      <c r="M34" s="293"/>
      <c r="O34" s="189"/>
      <c r="Q34" s="293"/>
      <c r="S34" s="189"/>
      <c r="U34" s="293"/>
      <c r="V34"/>
      <c r="W34" s="189"/>
      <c r="Y34" s="293"/>
      <c r="Z34"/>
      <c r="AA34"/>
      <c r="AB34"/>
      <c r="AC34"/>
      <c r="AD34"/>
      <c r="AE34"/>
      <c r="AF34"/>
      <c r="AH34"/>
      <c r="AI34"/>
      <c r="AJ34"/>
    </row>
    <row r="35" spans="1:38" s="180" customFormat="1" ht="15.75" x14ac:dyDescent="0.25">
      <c r="A35" s="294" t="s">
        <v>1215</v>
      </c>
      <c r="C35" s="189"/>
      <c r="E35" s="293"/>
      <c r="G35" s="189"/>
      <c r="I35" s="293"/>
      <c r="J35" s="63"/>
      <c r="K35" s="189"/>
      <c r="M35" s="293"/>
      <c r="O35" s="189"/>
      <c r="Q35" s="293"/>
      <c r="S35" s="189"/>
      <c r="U35" s="293"/>
      <c r="V35"/>
      <c r="W35" s="189"/>
      <c r="Y35" s="293"/>
      <c r="Z35"/>
      <c r="AA35"/>
      <c r="AB35"/>
      <c r="AC35"/>
      <c r="AD35"/>
      <c r="AE35"/>
      <c r="AF35"/>
      <c r="AH35"/>
      <c r="AI35"/>
      <c r="AJ35"/>
    </row>
    <row r="36" spans="1:38" s="180" customFormat="1" hidden="1" x14ac:dyDescent="0.2">
      <c r="A36" s="76"/>
      <c r="C36" s="189"/>
      <c r="E36" s="293"/>
      <c r="G36" s="189"/>
      <c r="I36" s="293"/>
      <c r="J36" s="63"/>
      <c r="K36" s="189"/>
      <c r="M36" s="293"/>
      <c r="O36" s="189"/>
      <c r="Q36" s="293"/>
      <c r="S36" s="189"/>
      <c r="U36" s="293"/>
      <c r="V36"/>
      <c r="W36" s="189"/>
      <c r="Y36" s="293"/>
      <c r="Z36"/>
      <c r="AA36"/>
      <c r="AB36"/>
      <c r="AC36"/>
      <c r="AD36"/>
      <c r="AE36"/>
      <c r="AF36"/>
      <c r="AH36"/>
      <c r="AI36"/>
      <c r="AJ36"/>
    </row>
    <row r="37" spans="1:38" s="180" customFormat="1" hidden="1" x14ac:dyDescent="0.2">
      <c r="A37" s="76" t="s">
        <v>1209</v>
      </c>
      <c r="C37" s="189">
        <v>29275</v>
      </c>
      <c r="E37" s="293"/>
      <c r="G37" s="189">
        <v>21493</v>
      </c>
      <c r="I37" s="293"/>
      <c r="J37" s="63"/>
      <c r="K37" s="189">
        <v>87881</v>
      </c>
      <c r="M37" s="293"/>
      <c r="O37" s="189">
        <v>58813</v>
      </c>
      <c r="Q37" s="293"/>
      <c r="S37" s="189">
        <v>33868</v>
      </c>
      <c r="U37" s="293"/>
      <c r="V37"/>
      <c r="W37" s="189">
        <v>10881</v>
      </c>
      <c r="Y37" s="293"/>
      <c r="Z37"/>
      <c r="AA37"/>
      <c r="AB37"/>
      <c r="AC37"/>
      <c r="AD37"/>
      <c r="AE37"/>
      <c r="AF37"/>
      <c r="AH37"/>
      <c r="AI37"/>
      <c r="AJ37"/>
    </row>
    <row r="38" spans="1:38" s="180" customFormat="1" x14ac:dyDescent="0.2">
      <c r="A38" s="76"/>
      <c r="C38" s="189"/>
      <c r="E38" s="293"/>
      <c r="G38" s="189"/>
      <c r="I38" s="293"/>
      <c r="J38" s="63"/>
      <c r="K38" s="189"/>
      <c r="M38" s="293"/>
      <c r="O38" s="189"/>
      <c r="Q38" s="293"/>
      <c r="S38" s="189"/>
      <c r="U38" s="293"/>
      <c r="V38"/>
      <c r="W38" s="189"/>
      <c r="Y38" s="293"/>
      <c r="Z38"/>
      <c r="AA38"/>
      <c r="AB38"/>
      <c r="AC38"/>
      <c r="AD38"/>
      <c r="AE38"/>
      <c r="AF38"/>
      <c r="AH38"/>
      <c r="AI38"/>
      <c r="AJ38"/>
    </row>
    <row r="39" spans="1:38" s="180" customFormat="1" x14ac:dyDescent="0.2">
      <c r="A39" s="76" t="s">
        <v>1210</v>
      </c>
      <c r="C39" s="189">
        <v>11329</v>
      </c>
      <c r="E39" s="293"/>
      <c r="G39" s="189">
        <v>11933</v>
      </c>
      <c r="I39" s="293"/>
      <c r="J39" s="63"/>
      <c r="K39" s="189">
        <v>2491</v>
      </c>
      <c r="M39" s="293"/>
      <c r="O39" s="189">
        <v>11393</v>
      </c>
      <c r="Q39" s="293"/>
      <c r="S39" s="189">
        <v>0</v>
      </c>
      <c r="U39" s="293"/>
      <c r="V39"/>
      <c r="W39" s="189"/>
      <c r="Y39" s="293"/>
      <c r="Z39"/>
      <c r="AA39"/>
      <c r="AB39"/>
      <c r="AC39"/>
      <c r="AD39"/>
      <c r="AE39"/>
      <c r="AF39"/>
      <c r="AH39"/>
      <c r="AI39"/>
      <c r="AJ39"/>
    </row>
    <row r="40" spans="1:38" ht="15" customHeight="1" x14ac:dyDescent="0.2">
      <c r="J40" s="35"/>
      <c r="K40" s="189"/>
      <c r="L40" s="35"/>
      <c r="M40" s="59"/>
      <c r="O40" s="189"/>
      <c r="P40" s="35"/>
      <c r="Q40" s="59"/>
      <c r="S40" s="189"/>
      <c r="U40" s="59"/>
    </row>
    <row r="41" spans="1:38" ht="15" customHeight="1" x14ac:dyDescent="0.2">
      <c r="J41" s="35"/>
      <c r="K41" s="189"/>
      <c r="L41" s="35"/>
      <c r="M41" s="59"/>
      <c r="O41" s="189"/>
      <c r="P41" s="35"/>
      <c r="Q41" s="59"/>
      <c r="S41" s="189"/>
      <c r="U41" s="59"/>
    </row>
    <row r="42" spans="1:38" ht="15" customHeight="1" x14ac:dyDescent="0.2">
      <c r="J42" s="35"/>
      <c r="K42" s="187"/>
      <c r="O42" s="189"/>
      <c r="P42" s="35"/>
      <c r="Q42" s="59"/>
      <c r="S42" s="189"/>
      <c r="U42" s="59"/>
    </row>
    <row r="43" spans="1:38" ht="15" customHeight="1" x14ac:dyDescent="0.2">
      <c r="J43" s="35"/>
      <c r="K43" s="187"/>
      <c r="O43" s="189"/>
      <c r="P43" s="35"/>
      <c r="Q43" s="59"/>
      <c r="S43" s="189"/>
      <c r="U43" s="59"/>
    </row>
    <row r="44" spans="1:38" ht="15" customHeight="1" x14ac:dyDescent="0.2">
      <c r="J44" s="35"/>
      <c r="O44" s="35"/>
      <c r="P44" s="35"/>
      <c r="Q44" s="59"/>
      <c r="S44" s="63"/>
      <c r="U44" s="59"/>
    </row>
    <row r="45" spans="1:38" ht="15" customHeight="1" x14ac:dyDescent="0.2">
      <c r="A45" s="30" t="s">
        <v>1090</v>
      </c>
      <c r="C45" s="25">
        <v>2017</v>
      </c>
      <c r="G45" s="25">
        <v>2018</v>
      </c>
      <c r="J45" s="35"/>
      <c r="K45" s="25">
        <v>2019</v>
      </c>
      <c r="O45" s="35">
        <v>2020</v>
      </c>
      <c r="P45" s="35"/>
      <c r="Q45" s="59"/>
      <c r="S45" s="35">
        <v>2021</v>
      </c>
      <c r="U45" s="59"/>
      <c r="W45">
        <v>2022</v>
      </c>
      <c r="AG45" s="25">
        <v>17</v>
      </c>
      <c r="AH45">
        <v>18</v>
      </c>
      <c r="AI45">
        <v>19</v>
      </c>
      <c r="AJ45">
        <v>20</v>
      </c>
      <c r="AK45" s="25">
        <v>21</v>
      </c>
      <c r="AL45" s="25">
        <v>22</v>
      </c>
    </row>
    <row r="46" spans="1:38" ht="15" customHeight="1" x14ac:dyDescent="0.2">
      <c r="C46" s="63"/>
      <c r="D46" s="63"/>
      <c r="E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U46" s="59"/>
    </row>
    <row r="47" spans="1:38" ht="15" customHeight="1" x14ac:dyDescent="0.2">
      <c r="A47" s="76" t="s">
        <v>880</v>
      </c>
      <c r="C47" s="189">
        <v>439000</v>
      </c>
      <c r="D47" s="63"/>
      <c r="E47" s="63"/>
      <c r="G47" s="189">
        <v>472751</v>
      </c>
      <c r="H47" s="63"/>
      <c r="I47" s="63"/>
      <c r="J47" s="63"/>
      <c r="K47" s="189">
        <f>583071-67760</f>
        <v>515311</v>
      </c>
      <c r="L47" s="63"/>
      <c r="M47" s="63"/>
      <c r="N47" s="63"/>
      <c r="O47" s="189">
        <f>540469-19292</f>
        <v>521177</v>
      </c>
      <c r="P47" s="63"/>
      <c r="Q47" s="63"/>
      <c r="R47" s="63"/>
      <c r="S47" s="189">
        <v>481879</v>
      </c>
      <c r="U47" s="59"/>
      <c r="W47" s="189">
        <f>478405+3475</f>
        <v>481880</v>
      </c>
      <c r="AE47">
        <v>30</v>
      </c>
      <c r="AG47" s="180">
        <f t="shared" ref="AG47:AG57" si="17">ROUND((C47/$AE47),0)</f>
        <v>14633</v>
      </c>
      <c r="AH47" s="180">
        <f t="shared" ref="AH47:AH57" si="18">ROUND((G47/$AE47),0)</f>
        <v>15758</v>
      </c>
      <c r="AI47" s="180">
        <f t="shared" ref="AI47:AI57" si="19">ROUND((K47/$AE47),0)</f>
        <v>17177</v>
      </c>
      <c r="AJ47" s="180">
        <f t="shared" ref="AJ47:AJ57" si="20">ROUND((O47/$AE47),0)</f>
        <v>17373</v>
      </c>
      <c r="AK47" s="180">
        <f t="shared" ref="AK47:AK57" si="21">ROUND((S47/$AE47),0)</f>
        <v>16063</v>
      </c>
      <c r="AL47" s="180">
        <f t="shared" ref="AL47:AL57" si="22">ROUND((W47/$AE47),0)</f>
        <v>16063</v>
      </c>
    </row>
    <row r="48" spans="1:38" ht="15" customHeight="1" x14ac:dyDescent="0.2">
      <c r="A48" s="76" t="s">
        <v>862</v>
      </c>
      <c r="C48" s="189">
        <v>473548</v>
      </c>
      <c r="D48" s="63"/>
      <c r="E48" s="63"/>
      <c r="G48" s="189">
        <v>491610</v>
      </c>
      <c r="H48" s="63"/>
      <c r="I48" s="63"/>
      <c r="J48" s="63"/>
      <c r="K48" s="189">
        <v>513943</v>
      </c>
      <c r="L48" s="63"/>
      <c r="M48" s="63"/>
      <c r="N48" s="63"/>
      <c r="O48" s="189">
        <v>524093</v>
      </c>
      <c r="P48" s="63"/>
      <c r="Q48" s="63"/>
      <c r="R48" s="63"/>
      <c r="S48" s="189">
        <v>524092</v>
      </c>
      <c r="U48" s="59"/>
      <c r="W48" s="189">
        <v>524093</v>
      </c>
      <c r="AE48">
        <v>31</v>
      </c>
      <c r="AG48" s="180">
        <f t="shared" si="17"/>
        <v>15276</v>
      </c>
      <c r="AH48" s="180">
        <f t="shared" si="18"/>
        <v>15858</v>
      </c>
      <c r="AI48" s="180">
        <f t="shared" si="19"/>
        <v>16579</v>
      </c>
      <c r="AJ48" s="180">
        <f t="shared" si="20"/>
        <v>16906</v>
      </c>
      <c r="AK48" s="180">
        <f t="shared" si="21"/>
        <v>16906</v>
      </c>
      <c r="AL48" s="180">
        <f t="shared" si="22"/>
        <v>16906</v>
      </c>
    </row>
    <row r="49" spans="1:38" ht="15" customHeight="1" x14ac:dyDescent="0.2">
      <c r="A49" s="76" t="s">
        <v>863</v>
      </c>
      <c r="C49" s="189">
        <v>403823</v>
      </c>
      <c r="D49" s="63"/>
      <c r="E49" s="63"/>
      <c r="G49" s="189">
        <f>426596-1580</f>
        <v>425016</v>
      </c>
      <c r="H49" s="63"/>
      <c r="I49" s="63"/>
      <c r="J49" s="63"/>
      <c r="K49" s="189">
        <v>444352</v>
      </c>
      <c r="L49" s="63"/>
      <c r="M49" s="63"/>
      <c r="N49" s="63"/>
      <c r="O49" s="189">
        <v>431974</v>
      </c>
      <c r="P49" s="63"/>
      <c r="Q49" s="63"/>
      <c r="R49" s="63"/>
      <c r="S49" s="189">
        <v>432074</v>
      </c>
      <c r="U49" s="59"/>
      <c r="W49" s="189">
        <v>432076</v>
      </c>
      <c r="AE49">
        <v>25</v>
      </c>
      <c r="AG49" s="180">
        <f t="shared" si="17"/>
        <v>16153</v>
      </c>
      <c r="AH49" s="180">
        <f t="shared" si="18"/>
        <v>17001</v>
      </c>
      <c r="AI49" s="180">
        <f t="shared" si="19"/>
        <v>17774</v>
      </c>
      <c r="AJ49" s="180">
        <f t="shared" si="20"/>
        <v>17279</v>
      </c>
      <c r="AK49" s="180">
        <f t="shared" si="21"/>
        <v>17283</v>
      </c>
      <c r="AL49" s="180">
        <f t="shared" si="22"/>
        <v>17283</v>
      </c>
    </row>
    <row r="50" spans="1:38" ht="15" customHeight="1" x14ac:dyDescent="0.2">
      <c r="A50" s="76" t="s">
        <v>864</v>
      </c>
      <c r="C50" s="189">
        <v>1389209</v>
      </c>
      <c r="D50" s="63"/>
      <c r="E50" s="63"/>
      <c r="G50" s="189">
        <v>1462151</v>
      </c>
      <c r="H50" s="63"/>
      <c r="I50" s="63"/>
      <c r="J50" s="63"/>
      <c r="K50" s="189">
        <v>1522864</v>
      </c>
      <c r="L50" s="63"/>
      <c r="M50" s="63"/>
      <c r="N50" s="63"/>
      <c r="O50" s="189">
        <v>1509284</v>
      </c>
      <c r="P50" s="63"/>
      <c r="Q50" s="63"/>
      <c r="R50" s="63"/>
      <c r="S50" s="189">
        <v>1509284</v>
      </c>
      <c r="U50" s="59"/>
      <c r="W50" s="189">
        <v>1497847</v>
      </c>
      <c r="AE50">
        <v>26</v>
      </c>
      <c r="AG50" s="180">
        <f t="shared" si="17"/>
        <v>53431</v>
      </c>
      <c r="AH50" s="180">
        <f t="shared" si="18"/>
        <v>56237</v>
      </c>
      <c r="AI50" s="180">
        <f t="shared" si="19"/>
        <v>58572</v>
      </c>
      <c r="AJ50" s="180">
        <f t="shared" si="20"/>
        <v>58049</v>
      </c>
      <c r="AK50" s="180">
        <f t="shared" si="21"/>
        <v>58049</v>
      </c>
      <c r="AL50" s="180">
        <f t="shared" si="22"/>
        <v>57610</v>
      </c>
    </row>
    <row r="51" spans="1:38" ht="15" customHeight="1" x14ac:dyDescent="0.2">
      <c r="A51" s="76" t="s">
        <v>865</v>
      </c>
      <c r="C51" s="189">
        <v>576743</v>
      </c>
      <c r="D51" s="63"/>
      <c r="E51" s="63"/>
      <c r="G51" s="189">
        <v>560518</v>
      </c>
      <c r="H51" s="63"/>
      <c r="I51" s="63"/>
      <c r="J51" s="63"/>
      <c r="K51" s="189">
        <v>556449</v>
      </c>
      <c r="L51" s="63"/>
      <c r="M51" s="63"/>
      <c r="N51" s="63"/>
      <c r="O51" s="189">
        <v>600487</v>
      </c>
      <c r="P51" s="63"/>
      <c r="Q51" s="63"/>
      <c r="R51" s="63"/>
      <c r="S51" s="189">
        <v>591261</v>
      </c>
      <c r="U51" s="59"/>
      <c r="W51" s="189">
        <v>591370</v>
      </c>
      <c r="AE51">
        <v>43</v>
      </c>
      <c r="AG51" s="180">
        <f t="shared" si="17"/>
        <v>13413</v>
      </c>
      <c r="AH51" s="180">
        <f t="shared" si="18"/>
        <v>13035</v>
      </c>
      <c r="AI51" s="180">
        <f t="shared" si="19"/>
        <v>12941</v>
      </c>
      <c r="AJ51" s="180">
        <f t="shared" si="20"/>
        <v>13965</v>
      </c>
      <c r="AK51" s="180">
        <f t="shared" si="21"/>
        <v>13750</v>
      </c>
      <c r="AL51" s="180">
        <f t="shared" si="22"/>
        <v>13753</v>
      </c>
    </row>
    <row r="52" spans="1:38" ht="15" customHeight="1" x14ac:dyDescent="0.2">
      <c r="A52" s="76" t="s">
        <v>866</v>
      </c>
      <c r="C52" s="189">
        <v>796704</v>
      </c>
      <c r="D52" s="63"/>
      <c r="E52" s="63"/>
      <c r="G52" s="189">
        <v>755383</v>
      </c>
      <c r="H52" s="63"/>
      <c r="I52" s="63"/>
      <c r="J52" s="63"/>
      <c r="K52" s="189">
        <v>789744</v>
      </c>
      <c r="L52" s="63"/>
      <c r="M52" s="63"/>
      <c r="N52" s="63"/>
      <c r="O52" s="189">
        <v>773488</v>
      </c>
      <c r="P52" s="63"/>
      <c r="Q52" s="63"/>
      <c r="R52" s="63"/>
      <c r="S52" s="189">
        <v>773488</v>
      </c>
      <c r="U52" s="59"/>
      <c r="W52" s="189">
        <v>773493</v>
      </c>
      <c r="AE52">
        <v>32</v>
      </c>
      <c r="AG52" s="180">
        <f t="shared" si="17"/>
        <v>24897</v>
      </c>
      <c r="AH52" s="180">
        <f t="shared" si="18"/>
        <v>23606</v>
      </c>
      <c r="AI52" s="180">
        <f t="shared" si="19"/>
        <v>24680</v>
      </c>
      <c r="AJ52" s="180">
        <f t="shared" si="20"/>
        <v>24172</v>
      </c>
      <c r="AK52" s="180">
        <f t="shared" si="21"/>
        <v>24172</v>
      </c>
      <c r="AL52" s="180">
        <f t="shared" si="22"/>
        <v>24172</v>
      </c>
    </row>
    <row r="53" spans="1:38" ht="15" customHeight="1" x14ac:dyDescent="0.2">
      <c r="A53" s="76" t="s">
        <v>867</v>
      </c>
      <c r="C53" s="189">
        <v>887717</v>
      </c>
      <c r="D53" s="63"/>
      <c r="E53" s="63"/>
      <c r="G53" s="189">
        <v>923627</v>
      </c>
      <c r="H53" s="63"/>
      <c r="I53" s="63"/>
      <c r="J53" s="63"/>
      <c r="K53" s="189">
        <v>958498</v>
      </c>
      <c r="L53" s="63"/>
      <c r="M53" s="63"/>
      <c r="N53" s="63"/>
      <c r="O53" s="189">
        <v>891904</v>
      </c>
      <c r="P53" s="63"/>
      <c r="Q53" s="63"/>
      <c r="R53" s="63"/>
      <c r="S53" s="189">
        <v>891905</v>
      </c>
      <c r="U53" s="59"/>
      <c r="W53" s="189">
        <v>891905</v>
      </c>
      <c r="AE53">
        <v>24</v>
      </c>
      <c r="AG53" s="180">
        <f t="shared" si="17"/>
        <v>36988</v>
      </c>
      <c r="AH53" s="180">
        <f t="shared" si="18"/>
        <v>38484</v>
      </c>
      <c r="AI53" s="180">
        <f t="shared" si="19"/>
        <v>39937</v>
      </c>
      <c r="AJ53" s="180">
        <f t="shared" si="20"/>
        <v>37163</v>
      </c>
      <c r="AK53" s="180">
        <f t="shared" si="21"/>
        <v>37163</v>
      </c>
      <c r="AL53" s="180">
        <f t="shared" si="22"/>
        <v>37163</v>
      </c>
    </row>
    <row r="54" spans="1:38" ht="15" customHeight="1" x14ac:dyDescent="0.2">
      <c r="A54" s="76" t="s">
        <v>868</v>
      </c>
      <c r="C54" s="189">
        <v>521894</v>
      </c>
      <c r="D54" s="63"/>
      <c r="E54" s="63"/>
      <c r="G54" s="189">
        <v>489320</v>
      </c>
      <c r="H54" s="63"/>
      <c r="I54" s="63"/>
      <c r="J54" s="63"/>
      <c r="K54" s="189">
        <v>512920</v>
      </c>
      <c r="L54" s="63"/>
      <c r="M54" s="63"/>
      <c r="N54" s="63"/>
      <c r="O54" s="189">
        <v>518541</v>
      </c>
      <c r="P54" s="63"/>
      <c r="Q54" s="63"/>
      <c r="R54" s="63"/>
      <c r="S54" s="189">
        <v>518541</v>
      </c>
      <c r="U54" s="59"/>
      <c r="W54" s="189">
        <v>518533</v>
      </c>
      <c r="AE54">
        <v>15</v>
      </c>
      <c r="AG54" s="180">
        <f t="shared" si="17"/>
        <v>34793</v>
      </c>
      <c r="AH54" s="180">
        <f t="shared" si="18"/>
        <v>32621</v>
      </c>
      <c r="AI54" s="180">
        <f t="shared" si="19"/>
        <v>34195</v>
      </c>
      <c r="AJ54" s="180">
        <f t="shared" si="20"/>
        <v>34569</v>
      </c>
      <c r="AK54" s="180">
        <f t="shared" si="21"/>
        <v>34569</v>
      </c>
      <c r="AL54" s="180">
        <f t="shared" si="22"/>
        <v>34569</v>
      </c>
    </row>
    <row r="55" spans="1:38" ht="15" customHeight="1" x14ac:dyDescent="0.2">
      <c r="A55" s="76" t="s">
        <v>869</v>
      </c>
      <c r="C55" s="189">
        <v>275711</v>
      </c>
      <c r="D55" s="63"/>
      <c r="E55" s="63"/>
      <c r="G55" s="189">
        <v>300397</v>
      </c>
      <c r="H55" s="63"/>
      <c r="I55" s="63"/>
      <c r="J55" s="63"/>
      <c r="K55" s="189">
        <v>317898</v>
      </c>
      <c r="L55" s="63"/>
      <c r="M55" s="63"/>
      <c r="N55" s="63"/>
      <c r="O55" s="189">
        <f>338235-22080</f>
        <v>316155</v>
      </c>
      <c r="P55" s="63"/>
      <c r="Q55" s="63"/>
      <c r="R55" s="63"/>
      <c r="S55" s="189">
        <v>316155</v>
      </c>
      <c r="U55" s="59"/>
      <c r="W55" s="189">
        <v>316156</v>
      </c>
      <c r="AE55">
        <v>18</v>
      </c>
      <c r="AG55" s="180">
        <f t="shared" si="17"/>
        <v>15317</v>
      </c>
      <c r="AH55" s="180">
        <f t="shared" si="18"/>
        <v>16689</v>
      </c>
      <c r="AI55" s="180">
        <f t="shared" si="19"/>
        <v>17661</v>
      </c>
      <c r="AJ55" s="180">
        <f t="shared" si="20"/>
        <v>17564</v>
      </c>
      <c r="AK55" s="180">
        <f t="shared" si="21"/>
        <v>17564</v>
      </c>
      <c r="AL55" s="180">
        <f t="shared" si="22"/>
        <v>17564</v>
      </c>
    </row>
    <row r="56" spans="1:38" ht="15" customHeight="1" x14ac:dyDescent="0.2">
      <c r="A56" s="76" t="s">
        <v>870</v>
      </c>
      <c r="C56" s="189">
        <v>478434</v>
      </c>
      <c r="D56" s="63"/>
      <c r="E56" s="63"/>
      <c r="G56" s="189">
        <v>498085</v>
      </c>
      <c r="H56" s="63"/>
      <c r="I56" s="63"/>
      <c r="J56" s="63"/>
      <c r="K56" s="189">
        <v>524260</v>
      </c>
      <c r="L56" s="63"/>
      <c r="M56" s="63"/>
      <c r="N56" s="63"/>
      <c r="O56" s="189">
        <v>538613</v>
      </c>
      <c r="P56" s="63"/>
      <c r="Q56" s="63"/>
      <c r="R56" s="63"/>
      <c r="S56" s="189">
        <v>538613</v>
      </c>
      <c r="U56" s="59"/>
      <c r="W56" s="189">
        <v>538615</v>
      </c>
      <c r="AE56">
        <v>34</v>
      </c>
      <c r="AG56" s="180">
        <f t="shared" si="17"/>
        <v>14072</v>
      </c>
      <c r="AH56" s="180">
        <f t="shared" si="18"/>
        <v>14650</v>
      </c>
      <c r="AI56" s="180">
        <f t="shared" si="19"/>
        <v>15419</v>
      </c>
      <c r="AJ56" s="180">
        <f t="shared" si="20"/>
        <v>15842</v>
      </c>
      <c r="AK56" s="180">
        <f t="shared" si="21"/>
        <v>15842</v>
      </c>
      <c r="AL56" s="180">
        <f t="shared" si="22"/>
        <v>15842</v>
      </c>
    </row>
    <row r="57" spans="1:38" ht="15" customHeight="1" x14ac:dyDescent="0.2">
      <c r="A57" s="76" t="s">
        <v>871</v>
      </c>
      <c r="C57" s="189">
        <v>640352</v>
      </c>
      <c r="D57" s="63"/>
      <c r="E57" s="63"/>
      <c r="G57" s="189">
        <v>659893</v>
      </c>
      <c r="H57" s="63"/>
      <c r="I57" s="63"/>
      <c r="J57" s="63"/>
      <c r="K57" s="189">
        <v>694306</v>
      </c>
      <c r="L57" s="63"/>
      <c r="M57" s="63"/>
      <c r="N57" s="63"/>
      <c r="O57" s="189">
        <v>630674</v>
      </c>
      <c r="P57" s="63"/>
      <c r="Q57" s="63"/>
      <c r="R57" s="63"/>
      <c r="S57" s="189">
        <v>623163</v>
      </c>
      <c r="U57" s="59"/>
      <c r="W57" s="189">
        <v>617639</v>
      </c>
      <c r="AE57">
        <v>47</v>
      </c>
      <c r="AG57" s="180">
        <f t="shared" si="17"/>
        <v>13625</v>
      </c>
      <c r="AH57" s="180">
        <f t="shared" si="18"/>
        <v>14040</v>
      </c>
      <c r="AI57" s="180">
        <f t="shared" si="19"/>
        <v>14772</v>
      </c>
      <c r="AJ57" s="180">
        <f t="shared" si="20"/>
        <v>13419</v>
      </c>
      <c r="AK57" s="180">
        <f t="shared" si="21"/>
        <v>13259</v>
      </c>
      <c r="AL57" s="180">
        <f t="shared" si="22"/>
        <v>13141</v>
      </c>
    </row>
    <row r="58" spans="1:38" ht="15" customHeight="1" x14ac:dyDescent="0.2">
      <c r="A58" s="76" t="s">
        <v>872</v>
      </c>
      <c r="C58" s="189">
        <v>869959</v>
      </c>
      <c r="D58" s="63"/>
      <c r="E58" s="63"/>
      <c r="G58" s="189">
        <v>928602</v>
      </c>
      <c r="H58" s="63"/>
      <c r="I58" s="63"/>
      <c r="J58" s="63"/>
      <c r="K58" s="189">
        <v>973451</v>
      </c>
      <c r="L58" s="63"/>
      <c r="M58" s="63"/>
      <c r="N58" s="63"/>
      <c r="O58" s="189">
        <v>932398</v>
      </c>
      <c r="P58" s="63"/>
      <c r="Q58" s="63"/>
      <c r="R58" s="63"/>
      <c r="S58" s="189">
        <v>932398</v>
      </c>
      <c r="U58" s="59"/>
      <c r="W58" s="189">
        <v>932405</v>
      </c>
      <c r="AE58">
        <v>27</v>
      </c>
      <c r="AG58" s="180">
        <f>ROUND((C58/$AE58),0)</f>
        <v>32221</v>
      </c>
      <c r="AH58" s="180">
        <f>ROUND((G58/$AE58),0)</f>
        <v>34393</v>
      </c>
      <c r="AI58" s="180">
        <f>ROUND((K58/$AE58),0)</f>
        <v>36054</v>
      </c>
      <c r="AJ58" s="180">
        <f>ROUND((O58/$AE58),0)</f>
        <v>34533</v>
      </c>
      <c r="AK58" s="180">
        <f>ROUND((S58/$AE58),0)</f>
        <v>34533</v>
      </c>
      <c r="AL58" s="180">
        <f>ROUND((W58/$AE58),0)</f>
        <v>34534</v>
      </c>
    </row>
    <row r="59" spans="1:38" ht="15" customHeight="1" x14ac:dyDescent="0.2">
      <c r="C59" s="189"/>
      <c r="D59" s="63"/>
      <c r="E59" s="63"/>
      <c r="G59" s="189"/>
      <c r="H59" s="63"/>
      <c r="I59" s="63"/>
      <c r="J59" s="63"/>
      <c r="K59" s="189"/>
      <c r="L59" s="63"/>
      <c r="M59" s="63"/>
      <c r="N59" s="63"/>
      <c r="O59" s="189"/>
      <c r="P59" s="63"/>
      <c r="Q59" s="63"/>
      <c r="R59" s="63"/>
      <c r="S59" s="189"/>
      <c r="U59" s="59"/>
      <c r="W59" s="189"/>
      <c r="AG59" s="180"/>
      <c r="AH59" s="180"/>
      <c r="AI59" s="180"/>
      <c r="AJ59" s="180"/>
      <c r="AK59" s="180"/>
      <c r="AL59" s="180"/>
    </row>
    <row r="60" spans="1:38" ht="15" customHeight="1" x14ac:dyDescent="0.2">
      <c r="C60" s="189">
        <f>SUM(C47:C59)</f>
        <v>7753094</v>
      </c>
      <c r="D60" s="63"/>
      <c r="E60" s="63"/>
      <c r="G60" s="189">
        <f>SUM(G47:G59)</f>
        <v>7967353</v>
      </c>
      <c r="H60" s="63"/>
      <c r="I60" s="63"/>
      <c r="J60" s="63"/>
      <c r="K60" s="189">
        <f>SUM(K47:K59)</f>
        <v>8323996</v>
      </c>
      <c r="L60" s="63"/>
      <c r="M60" s="63"/>
      <c r="N60" s="63"/>
      <c r="O60" s="189">
        <f>SUM(O47:O59)</f>
        <v>8188788</v>
      </c>
      <c r="P60" s="63"/>
      <c r="Q60" s="63"/>
      <c r="R60" s="63"/>
      <c r="S60" s="189">
        <f>SUM(S47:S59)</f>
        <v>8132853</v>
      </c>
      <c r="U60" s="59"/>
      <c r="W60" s="189">
        <f>SUM(W47:W59)</f>
        <v>8116012</v>
      </c>
      <c r="AE60">
        <f>SUM(AE47:AE59)</f>
        <v>352</v>
      </c>
      <c r="AG60" s="180">
        <f>ROUND((C60/$AE$60),0)</f>
        <v>22026</v>
      </c>
      <c r="AH60" s="180">
        <f>ROUND((G60/$AE$60),0)</f>
        <v>22635</v>
      </c>
      <c r="AI60" s="180">
        <f>ROUND((K60/$AE$60),0)</f>
        <v>23648</v>
      </c>
      <c r="AJ60" s="180">
        <f>ROUND((O60/$AE$60),0)</f>
        <v>23264</v>
      </c>
      <c r="AK60" s="180">
        <f>ROUND((S60/$AE$60),0)</f>
        <v>23105</v>
      </c>
      <c r="AL60" s="180">
        <f>ROUND((W60/$AE$60),0)</f>
        <v>23057</v>
      </c>
    </row>
    <row r="61" spans="1:38" ht="15" customHeight="1" x14ac:dyDescent="0.2">
      <c r="C61" s="189"/>
      <c r="D61" s="63"/>
      <c r="E61" s="63"/>
      <c r="G61" s="189"/>
      <c r="H61" s="63"/>
      <c r="I61" s="63"/>
      <c r="J61" s="63"/>
      <c r="K61" s="189"/>
      <c r="L61" s="63"/>
      <c r="M61" s="63"/>
      <c r="N61" s="63"/>
      <c r="O61" s="189"/>
      <c r="P61" s="63"/>
      <c r="Q61" s="63"/>
      <c r="R61" s="63"/>
      <c r="S61" s="189"/>
      <c r="U61" s="59"/>
    </row>
    <row r="62" spans="1:38" ht="15" customHeight="1" x14ac:dyDescent="0.2">
      <c r="C62" s="189"/>
      <c r="D62" s="63"/>
      <c r="E62" s="63"/>
      <c r="G62" s="189"/>
      <c r="H62" s="63"/>
      <c r="I62" s="63"/>
      <c r="J62" s="63"/>
      <c r="K62" s="189"/>
      <c r="L62" s="63"/>
      <c r="M62" s="63"/>
      <c r="N62" s="63"/>
      <c r="O62" s="189"/>
      <c r="P62" s="63"/>
      <c r="Q62" s="63"/>
      <c r="R62" s="63"/>
      <c r="S62" s="189"/>
      <c r="U62" s="59"/>
    </row>
    <row r="63" spans="1:38" ht="15" customHeight="1" x14ac:dyDescent="0.2">
      <c r="A63" s="30" t="s">
        <v>874</v>
      </c>
      <c r="C63" s="189">
        <f>SUM(C47:C52)</f>
        <v>4079027</v>
      </c>
      <c r="D63" s="63"/>
      <c r="E63" s="63"/>
      <c r="G63" s="189">
        <f>SUM(G47:G52)</f>
        <v>4167429</v>
      </c>
      <c r="H63" s="63"/>
      <c r="I63" s="63"/>
      <c r="J63" s="63"/>
      <c r="K63" s="189">
        <f>SUM(K47:K52)</f>
        <v>4342663</v>
      </c>
      <c r="L63" s="63"/>
      <c r="M63" s="63"/>
      <c r="N63" s="63"/>
      <c r="O63" s="189">
        <f>SUM(O47:O52)</f>
        <v>4360503</v>
      </c>
      <c r="P63" s="63"/>
      <c r="Q63" s="63"/>
      <c r="R63" s="63"/>
      <c r="S63" s="189">
        <f>SUM(S47:S52)</f>
        <v>4312078</v>
      </c>
      <c r="U63" s="59"/>
      <c r="W63" s="189">
        <f>SUM(W47:W52)</f>
        <v>4300759</v>
      </c>
    </row>
    <row r="64" spans="1:38" ht="15" customHeight="1" x14ac:dyDescent="0.2">
      <c r="A64" s="30" t="s">
        <v>875</v>
      </c>
      <c r="C64" s="189">
        <f>SUM(C53:C58)</f>
        <v>3674067</v>
      </c>
      <c r="D64" s="63"/>
      <c r="E64" s="63"/>
      <c r="G64" s="189">
        <f>SUM(G53:G58)</f>
        <v>3799924</v>
      </c>
      <c r="H64" s="63"/>
      <c r="I64" s="63"/>
      <c r="J64" s="63"/>
      <c r="K64" s="189">
        <f>SUM(K53:K58)</f>
        <v>3981333</v>
      </c>
      <c r="L64" s="63"/>
      <c r="M64" s="63"/>
      <c r="N64" s="63"/>
      <c r="O64" s="189">
        <f>SUM(O53:O58)</f>
        <v>3828285</v>
      </c>
      <c r="P64" s="63"/>
      <c r="Q64" s="63"/>
      <c r="R64" s="63"/>
      <c r="S64" s="189">
        <f>SUM(S53:S58)</f>
        <v>3820775</v>
      </c>
      <c r="U64" s="59"/>
      <c r="W64" s="189">
        <f>SUM(W53:W58)</f>
        <v>3815253</v>
      </c>
    </row>
    <row r="65" spans="3:23" x14ac:dyDescent="0.2">
      <c r="C65" s="189"/>
      <c r="D65" s="63"/>
      <c r="E65" s="63"/>
      <c r="G65" s="189"/>
      <c r="H65" s="63"/>
      <c r="I65" s="63"/>
      <c r="J65" s="63"/>
      <c r="K65" s="189"/>
      <c r="L65" s="63"/>
      <c r="M65" s="63"/>
      <c r="N65" s="63"/>
      <c r="O65" s="189"/>
      <c r="P65" s="63"/>
      <c r="Q65" s="63"/>
      <c r="R65" s="63"/>
      <c r="S65" s="189"/>
      <c r="U65" s="59"/>
      <c r="W65" s="189"/>
    </row>
    <row r="66" spans="3:23" ht="15" customHeight="1" x14ac:dyDescent="0.2">
      <c r="C66" s="189">
        <f>SUM(C63:C65)</f>
        <v>7753094</v>
      </c>
      <c r="D66" s="63"/>
      <c r="E66" s="63"/>
      <c r="G66" s="189">
        <f>SUM(G63:G65)</f>
        <v>7967353</v>
      </c>
      <c r="H66" s="63"/>
      <c r="I66" s="63"/>
      <c r="J66" s="63"/>
      <c r="K66" s="189">
        <f>SUM(K63:K65)</f>
        <v>8323996</v>
      </c>
      <c r="L66" s="63"/>
      <c r="M66" s="63"/>
      <c r="N66" s="63"/>
      <c r="O66" s="189">
        <f>SUM(O63:O65)</f>
        <v>8188788</v>
      </c>
      <c r="P66" s="63"/>
      <c r="Q66" s="63"/>
      <c r="R66" s="63"/>
      <c r="S66" s="189">
        <f>SUM(S63:S65)</f>
        <v>8132853</v>
      </c>
      <c r="U66" s="59"/>
      <c r="W66" s="189">
        <f>SUM(W63:W65)</f>
        <v>8116012</v>
      </c>
    </row>
    <row r="67" spans="3:23" ht="15" customHeight="1" x14ac:dyDescent="0.2">
      <c r="C67" s="63"/>
      <c r="D67" s="63"/>
      <c r="E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U67" s="59"/>
    </row>
    <row r="68" spans="3:23" ht="15" customHeight="1" x14ac:dyDescent="0.2">
      <c r="C68" s="63"/>
      <c r="D68" s="63"/>
      <c r="E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U68" s="59"/>
    </row>
    <row r="69" spans="3:23" ht="15" customHeight="1" x14ac:dyDescent="0.2">
      <c r="C69" s="63"/>
      <c r="D69" s="63"/>
      <c r="E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U69" s="59"/>
    </row>
    <row r="70" spans="3:23" ht="15" customHeight="1" x14ac:dyDescent="0.2">
      <c r="C70" s="63"/>
      <c r="D70" s="63"/>
      <c r="E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U70" s="59"/>
    </row>
  </sheetData>
  <mergeCells count="20">
    <mergeCell ref="W5:Y5"/>
    <mergeCell ref="W6:Y6"/>
    <mergeCell ref="W7:Y7"/>
    <mergeCell ref="A1:Y1"/>
    <mergeCell ref="A2:Y2"/>
    <mergeCell ref="S7:U7"/>
    <mergeCell ref="O7:Q7"/>
    <mergeCell ref="S5:U5"/>
    <mergeCell ref="O5:Q5"/>
    <mergeCell ref="S6:U6"/>
    <mergeCell ref="C7:E7"/>
    <mergeCell ref="K5:M5"/>
    <mergeCell ref="K6:M6"/>
    <mergeCell ref="K7:M7"/>
    <mergeCell ref="G5:I5"/>
    <mergeCell ref="G6:I6"/>
    <mergeCell ref="G7:I7"/>
    <mergeCell ref="O6:Q6"/>
    <mergeCell ref="C5:E5"/>
    <mergeCell ref="C6:E6"/>
  </mergeCells>
  <printOptions horizontalCentered="1"/>
  <pageMargins left="0" right="0" top="0.59055118110236227" bottom="0" header="0.39370078740157483" footer="0"/>
  <pageSetup paperSize="9" scale="74" orientation="landscape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C16" workbookViewId="0">
      <selection activeCell="D40" sqref="D40"/>
    </sheetView>
  </sheetViews>
  <sheetFormatPr defaultRowHeight="15" x14ac:dyDescent="0.2"/>
  <cols>
    <col min="1" max="1" width="16.5546875" bestFit="1" customWidth="1"/>
    <col min="2" max="2" width="9.33203125" bestFit="1" customWidth="1"/>
    <col min="3" max="9" width="11.77734375" bestFit="1" customWidth="1"/>
    <col min="10" max="10" width="11.77734375" customWidth="1"/>
    <col min="12" max="18" width="11.77734375" bestFit="1" customWidth="1"/>
    <col min="19" max="19" width="12.44140625" bestFit="1" customWidth="1"/>
  </cols>
  <sheetData>
    <row r="1" spans="1:19" x14ac:dyDescent="0.2">
      <c r="A1" t="s">
        <v>1168</v>
      </c>
      <c r="B1" s="7" t="s">
        <v>1050</v>
      </c>
      <c r="C1" s="7" t="s">
        <v>1154</v>
      </c>
      <c r="D1" s="7" t="s">
        <v>1155</v>
      </c>
      <c r="E1" s="7" t="s">
        <v>1156</v>
      </c>
      <c r="F1" s="7" t="s">
        <v>1157</v>
      </c>
      <c r="G1" s="7" t="s">
        <v>1158</v>
      </c>
      <c r="H1" s="7" t="s">
        <v>1159</v>
      </c>
      <c r="I1" s="7" t="s">
        <v>1160</v>
      </c>
      <c r="J1" s="7" t="s">
        <v>1182</v>
      </c>
      <c r="K1" s="7"/>
      <c r="L1" s="7" t="s">
        <v>1161</v>
      </c>
      <c r="M1" s="7" t="s">
        <v>1162</v>
      </c>
      <c r="N1" s="7" t="s">
        <v>1163</v>
      </c>
      <c r="O1" s="7" t="s">
        <v>1164</v>
      </c>
      <c r="P1" s="7" t="s">
        <v>1165</v>
      </c>
      <c r="Q1" s="7" t="s">
        <v>1166</v>
      </c>
      <c r="R1" s="7" t="s">
        <v>1167</v>
      </c>
    </row>
    <row r="2" spans="1:19" x14ac:dyDescent="0.2">
      <c r="A2" s="76" t="s">
        <v>880</v>
      </c>
      <c r="B2" s="124">
        <f>'Multi year deanery'!W47</f>
        <v>481880</v>
      </c>
      <c r="C2" s="23">
        <f>'2022 detail'!J40</f>
        <v>11899.3</v>
      </c>
      <c r="D2" s="23">
        <f>'2022 detail'!K40</f>
        <v>19562.02</v>
      </c>
      <c r="E2" s="23">
        <f>'2022 detail'!L40</f>
        <v>24271.02</v>
      </c>
      <c r="F2" s="23">
        <f>'2022 detail'!M40</f>
        <v>24175.02</v>
      </c>
      <c r="G2" s="23">
        <f>'2022 detail'!N40</f>
        <v>14781.019999999999</v>
      </c>
      <c r="H2" s="23">
        <f>'2022 detail'!O40</f>
        <v>40571.020000000011</v>
      </c>
      <c r="I2" s="23">
        <f>'2022 detail'!P40</f>
        <v>34065.070000000007</v>
      </c>
      <c r="J2" s="23"/>
      <c r="K2" s="23"/>
      <c r="L2" s="23">
        <f>C2</f>
        <v>11899.3</v>
      </c>
      <c r="M2" s="3">
        <f t="shared" ref="M2:R2" si="0">L2+D2</f>
        <v>31461.32</v>
      </c>
      <c r="N2" s="3">
        <f t="shared" si="0"/>
        <v>55732.34</v>
      </c>
      <c r="O2" s="3">
        <f t="shared" si="0"/>
        <v>79907.360000000001</v>
      </c>
      <c r="P2" s="3">
        <f t="shared" si="0"/>
        <v>94688.38</v>
      </c>
      <c r="Q2" s="3">
        <f t="shared" si="0"/>
        <v>135259.40000000002</v>
      </c>
      <c r="R2" s="3">
        <f t="shared" si="0"/>
        <v>169324.47000000003</v>
      </c>
    </row>
    <row r="3" spans="1:19" x14ac:dyDescent="0.2">
      <c r="A3" s="76" t="s">
        <v>862</v>
      </c>
      <c r="B3" s="124">
        <f>'Multi year deanery'!W48</f>
        <v>524093</v>
      </c>
      <c r="C3" s="23">
        <f>'2022 detail'!J84</f>
        <v>23245.77</v>
      </c>
      <c r="D3" s="23">
        <f>'2022 detail'!K84</f>
        <v>27854.429999999997</v>
      </c>
      <c r="E3" s="23">
        <f>'2022 detail'!L84</f>
        <v>36545.29</v>
      </c>
      <c r="F3" s="23">
        <f>'2022 detail'!M84</f>
        <v>26545.289999999997</v>
      </c>
      <c r="G3" s="23">
        <f>'2022 detail'!N84</f>
        <v>28545.289999999997</v>
      </c>
      <c r="H3" s="23">
        <f>'2022 detail'!O84</f>
        <v>32582.289999999997</v>
      </c>
      <c r="I3" s="23">
        <f>'2022 detail'!P84</f>
        <v>32669.289999999997</v>
      </c>
      <c r="J3" s="23"/>
      <c r="K3" s="23"/>
      <c r="L3" s="23">
        <f t="shared" ref="L3:L13" si="1">C3</f>
        <v>23245.77</v>
      </c>
      <c r="M3" s="3">
        <f t="shared" ref="M3:M13" si="2">L3+D3</f>
        <v>51100.2</v>
      </c>
      <c r="N3" s="3">
        <f t="shared" ref="N3:N13" si="3">M3+E3</f>
        <v>87645.489999999991</v>
      </c>
      <c r="O3" s="3">
        <f t="shared" ref="O3:O13" si="4">N3+F3</f>
        <v>114190.77999999998</v>
      </c>
      <c r="P3" s="3">
        <f t="shared" ref="P3:P13" si="5">O3+G3</f>
        <v>142736.06999999998</v>
      </c>
      <c r="Q3" s="3">
        <f t="shared" ref="Q3:Q13" si="6">P3+H3</f>
        <v>175318.36</v>
      </c>
      <c r="R3" s="3">
        <f t="shared" ref="R3:R13" si="7">Q3+I3</f>
        <v>207987.65</v>
      </c>
    </row>
    <row r="4" spans="1:19" x14ac:dyDescent="0.2">
      <c r="A4" s="76" t="s">
        <v>863</v>
      </c>
      <c r="B4" s="124">
        <f>'Multi year deanery'!W49</f>
        <v>432076</v>
      </c>
      <c r="C4" s="23">
        <f>'2022 detail'!J122</f>
        <v>16597.02</v>
      </c>
      <c r="D4" s="23">
        <f>'2022 detail'!K122</f>
        <v>17763.879999999997</v>
      </c>
      <c r="E4" s="23">
        <f>'2022 detail'!L122</f>
        <v>29972.720000000001</v>
      </c>
      <c r="F4" s="23">
        <f>'2022 detail'!M122</f>
        <v>24809.370000000003</v>
      </c>
      <c r="G4" s="23">
        <f>'2022 detail'!N122</f>
        <v>29999.100000000002</v>
      </c>
      <c r="H4" s="23">
        <f>'2022 detail'!O122</f>
        <v>23555.100000000002</v>
      </c>
      <c r="I4" s="23">
        <f>'2022 detail'!P122</f>
        <v>17430.87</v>
      </c>
      <c r="J4" s="23"/>
      <c r="K4" s="23"/>
      <c r="L4" s="23">
        <f t="shared" si="1"/>
        <v>16597.02</v>
      </c>
      <c r="M4" s="3">
        <f t="shared" si="2"/>
        <v>34360.899999999994</v>
      </c>
      <c r="N4" s="3">
        <f t="shared" si="3"/>
        <v>64333.619999999995</v>
      </c>
      <c r="O4" s="3">
        <f t="shared" si="4"/>
        <v>89142.989999999991</v>
      </c>
      <c r="P4" s="3">
        <f t="shared" si="5"/>
        <v>119142.09</v>
      </c>
      <c r="Q4" s="3">
        <f t="shared" si="6"/>
        <v>142697.19</v>
      </c>
      <c r="R4" s="3">
        <f t="shared" si="7"/>
        <v>160128.06</v>
      </c>
    </row>
    <row r="5" spans="1:19" x14ac:dyDescent="0.2">
      <c r="A5" s="76" t="s">
        <v>864</v>
      </c>
      <c r="B5" s="124">
        <f>'Multi year deanery'!W50</f>
        <v>1497847</v>
      </c>
      <c r="C5" s="23">
        <f>'2022 detail'!J162</f>
        <v>56642.59</v>
      </c>
      <c r="D5" s="23">
        <f>'2022 detail'!K162</f>
        <v>85685.75</v>
      </c>
      <c r="E5" s="23">
        <f>'2022 detail'!L162</f>
        <v>81779.069999999992</v>
      </c>
      <c r="F5" s="23">
        <f>'2022 detail'!M162</f>
        <v>74442.069999999992</v>
      </c>
      <c r="G5" s="23">
        <f>'2022 detail'!N162</f>
        <v>78013.569999999992</v>
      </c>
      <c r="H5" s="23">
        <f>'2022 detail'!O162</f>
        <v>83430.23</v>
      </c>
      <c r="I5" s="23">
        <f>'2022 detail'!P162</f>
        <v>78846.91</v>
      </c>
      <c r="J5" s="23"/>
      <c r="K5" s="23"/>
      <c r="L5" s="23">
        <f t="shared" si="1"/>
        <v>56642.59</v>
      </c>
      <c r="M5" s="3">
        <f t="shared" si="2"/>
        <v>142328.34</v>
      </c>
      <c r="N5" s="3">
        <f t="shared" si="3"/>
        <v>224107.40999999997</v>
      </c>
      <c r="O5" s="3">
        <f t="shared" si="4"/>
        <v>298549.48</v>
      </c>
      <c r="P5" s="3">
        <f t="shared" si="5"/>
        <v>376563.05</v>
      </c>
      <c r="Q5" s="3">
        <f t="shared" si="6"/>
        <v>459993.27999999997</v>
      </c>
      <c r="R5" s="3">
        <f t="shared" si="7"/>
        <v>538840.18999999994</v>
      </c>
    </row>
    <row r="6" spans="1:19" x14ac:dyDescent="0.2">
      <c r="A6" s="76" t="s">
        <v>865</v>
      </c>
      <c r="B6" s="124">
        <f>'Multi year deanery'!W51</f>
        <v>591370</v>
      </c>
      <c r="C6" s="23">
        <f>'2022 detail'!J218</f>
        <v>20020.819999999996</v>
      </c>
      <c r="D6" s="23">
        <f>'2022 detail'!K218</f>
        <v>24155.919999999998</v>
      </c>
      <c r="E6" s="23">
        <f>'2022 detail'!L218</f>
        <v>46215.85</v>
      </c>
      <c r="F6" s="23">
        <f>'2022 detail'!M218</f>
        <v>23287.1</v>
      </c>
      <c r="G6" s="23">
        <f>'2022 detail'!N218</f>
        <v>31702.32</v>
      </c>
      <c r="H6" s="23">
        <f>'2022 detail'!O218</f>
        <v>42791.41</v>
      </c>
      <c r="I6" s="23">
        <f>'2022 detail'!P218</f>
        <v>26372.32</v>
      </c>
      <c r="J6" s="23"/>
      <c r="K6" s="23"/>
      <c r="L6" s="23">
        <f t="shared" si="1"/>
        <v>20020.819999999996</v>
      </c>
      <c r="M6" s="3">
        <f t="shared" si="2"/>
        <v>44176.739999999991</v>
      </c>
      <c r="N6" s="3">
        <f t="shared" si="3"/>
        <v>90392.59</v>
      </c>
      <c r="O6" s="3">
        <f t="shared" si="4"/>
        <v>113679.69</v>
      </c>
      <c r="P6" s="3">
        <f t="shared" si="5"/>
        <v>145382.01</v>
      </c>
      <c r="Q6" s="3">
        <f t="shared" si="6"/>
        <v>188173.42</v>
      </c>
      <c r="R6" s="3">
        <f t="shared" si="7"/>
        <v>214545.74000000002</v>
      </c>
    </row>
    <row r="7" spans="1:19" x14ac:dyDescent="0.2">
      <c r="A7" s="76" t="s">
        <v>866</v>
      </c>
      <c r="B7" s="124">
        <f>'Multi year deanery'!W52</f>
        <v>773493</v>
      </c>
      <c r="C7" s="23">
        <f>'2022 detail'!J263</f>
        <v>22818.739999999998</v>
      </c>
      <c r="D7" s="23">
        <f>'2022 detail'!K263</f>
        <v>37149.660000000003</v>
      </c>
      <c r="E7" s="23">
        <f>'2022 detail'!L263</f>
        <v>41178.160000000003</v>
      </c>
      <c r="F7" s="23">
        <f>'2022 detail'!M263</f>
        <v>35818.410000000003</v>
      </c>
      <c r="G7" s="23">
        <f>'2022 detail'!N263</f>
        <v>33066.660000000003</v>
      </c>
      <c r="H7" s="23">
        <f>'2022 detail'!O263</f>
        <v>53716.91</v>
      </c>
      <c r="I7" s="23">
        <f>'2022 detail'!P263</f>
        <v>50831.74</v>
      </c>
      <c r="J7" s="23"/>
      <c r="K7" s="23"/>
      <c r="L7" s="23">
        <f t="shared" si="1"/>
        <v>22818.739999999998</v>
      </c>
      <c r="M7" s="3">
        <f t="shared" si="2"/>
        <v>59968.4</v>
      </c>
      <c r="N7" s="3">
        <f t="shared" si="3"/>
        <v>101146.56</v>
      </c>
      <c r="O7" s="3">
        <f t="shared" si="4"/>
        <v>136964.97</v>
      </c>
      <c r="P7" s="3">
        <f t="shared" si="5"/>
        <v>170031.63</v>
      </c>
      <c r="Q7" s="3">
        <f t="shared" si="6"/>
        <v>223748.54</v>
      </c>
      <c r="R7" s="3">
        <f t="shared" si="7"/>
        <v>274580.28000000003</v>
      </c>
    </row>
    <row r="8" spans="1:19" x14ac:dyDescent="0.2">
      <c r="A8" s="76" t="s">
        <v>867</v>
      </c>
      <c r="B8" s="124">
        <f>'Multi year deanery'!W53</f>
        <v>891905</v>
      </c>
      <c r="C8" s="23">
        <f>'2022 detail'!J300</f>
        <v>41860.54</v>
      </c>
      <c r="D8" s="23">
        <f>'2022 detail'!K300</f>
        <v>71276.350000000006</v>
      </c>
      <c r="E8" s="23">
        <f>'2022 detail'!L300</f>
        <v>60008.639999999999</v>
      </c>
      <c r="F8" s="23">
        <f>'2022 detail'!M300</f>
        <v>73012.44</v>
      </c>
      <c r="G8" s="23">
        <f>'2022 detail'!N300</f>
        <v>64345.26999999999</v>
      </c>
      <c r="H8" s="23">
        <f>'2022 detail'!O300</f>
        <v>53751.09</v>
      </c>
      <c r="I8" s="23">
        <f>'2022 detail'!P300</f>
        <v>69268.37</v>
      </c>
      <c r="J8" s="23"/>
      <c r="K8" s="23"/>
      <c r="L8" s="23">
        <f t="shared" si="1"/>
        <v>41860.54</v>
      </c>
      <c r="M8" s="3">
        <f t="shared" si="2"/>
        <v>113136.89000000001</v>
      </c>
      <c r="N8" s="3">
        <f t="shared" si="3"/>
        <v>173145.53000000003</v>
      </c>
      <c r="O8" s="3">
        <f t="shared" si="4"/>
        <v>246157.97000000003</v>
      </c>
      <c r="P8" s="3">
        <f t="shared" si="5"/>
        <v>310503.24</v>
      </c>
      <c r="Q8" s="3">
        <f t="shared" si="6"/>
        <v>364254.32999999996</v>
      </c>
      <c r="R8" s="3">
        <f t="shared" si="7"/>
        <v>433522.69999999995</v>
      </c>
    </row>
    <row r="9" spans="1:19" x14ac:dyDescent="0.2">
      <c r="A9" s="76" t="s">
        <v>868</v>
      </c>
      <c r="B9" s="124">
        <f>'Multi year deanery'!W54</f>
        <v>518533</v>
      </c>
      <c r="C9" s="23">
        <f>'2022 detail'!J328</f>
        <v>26036.98</v>
      </c>
      <c r="D9" s="23">
        <f>'2022 detail'!K328</f>
        <v>26036.82</v>
      </c>
      <c r="E9" s="23">
        <f>'2022 detail'!L328</f>
        <v>32036.82</v>
      </c>
      <c r="F9" s="23">
        <f>'2022 detail'!M328</f>
        <v>26036.82</v>
      </c>
      <c r="G9" s="23">
        <f>'2022 detail'!N328</f>
        <v>31036.82</v>
      </c>
      <c r="H9" s="23">
        <f>'2022 detail'!O328</f>
        <v>37636.82</v>
      </c>
      <c r="I9" s="23">
        <f>'2022 detail'!P328</f>
        <v>27036.82</v>
      </c>
      <c r="J9" s="23"/>
      <c r="K9" s="23"/>
      <c r="L9" s="23">
        <f t="shared" si="1"/>
        <v>26036.98</v>
      </c>
      <c r="M9" s="3">
        <f t="shared" si="2"/>
        <v>52073.8</v>
      </c>
      <c r="N9" s="3">
        <f t="shared" si="3"/>
        <v>84110.62</v>
      </c>
      <c r="O9" s="3">
        <f t="shared" si="4"/>
        <v>110147.44</v>
      </c>
      <c r="P9" s="3">
        <f t="shared" si="5"/>
        <v>141184.26</v>
      </c>
      <c r="Q9" s="3">
        <f t="shared" si="6"/>
        <v>178821.08000000002</v>
      </c>
      <c r="R9" s="3">
        <f t="shared" si="7"/>
        <v>205857.90000000002</v>
      </c>
    </row>
    <row r="10" spans="1:19" x14ac:dyDescent="0.2">
      <c r="A10" s="76" t="s">
        <v>869</v>
      </c>
      <c r="B10" s="124">
        <f>'Multi year deanery'!W55</f>
        <v>316156</v>
      </c>
      <c r="C10" s="23">
        <f>'2022 detail'!J359</f>
        <v>17054.86</v>
      </c>
      <c r="D10" s="23">
        <f>'2022 detail'!K359</f>
        <v>15304.74</v>
      </c>
      <c r="E10" s="23">
        <f>'2022 detail'!L359</f>
        <v>15304.74</v>
      </c>
      <c r="F10" s="23">
        <f>'2022 detail'!M359</f>
        <v>16594.739999999998</v>
      </c>
      <c r="G10" s="23">
        <f>'2022 detail'!N359</f>
        <v>19594.739999999998</v>
      </c>
      <c r="H10" s="23">
        <f>'2022 detail'!O359</f>
        <v>40887.339999999997</v>
      </c>
      <c r="I10" s="23">
        <f>'2022 detail'!P359</f>
        <v>17344.739999999998</v>
      </c>
      <c r="J10" s="23"/>
      <c r="K10" s="23"/>
      <c r="L10" s="23">
        <f t="shared" si="1"/>
        <v>17054.86</v>
      </c>
      <c r="M10" s="3">
        <f t="shared" si="2"/>
        <v>32359.599999999999</v>
      </c>
      <c r="N10" s="3">
        <f t="shared" si="3"/>
        <v>47664.34</v>
      </c>
      <c r="O10" s="3">
        <f t="shared" si="4"/>
        <v>64259.079999999994</v>
      </c>
      <c r="P10" s="3">
        <f t="shared" si="5"/>
        <v>83853.819999999992</v>
      </c>
      <c r="Q10" s="3">
        <f t="shared" si="6"/>
        <v>124741.15999999999</v>
      </c>
      <c r="R10" s="3">
        <f t="shared" si="7"/>
        <v>142085.9</v>
      </c>
    </row>
    <row r="11" spans="1:19" x14ac:dyDescent="0.2">
      <c r="A11" s="76" t="s">
        <v>870</v>
      </c>
      <c r="B11" s="124">
        <f>'Multi year deanery'!W56</f>
        <v>538615</v>
      </c>
      <c r="C11" s="23">
        <f>'2022 detail'!J406</f>
        <v>27712.35</v>
      </c>
      <c r="D11" s="23">
        <f>'2022 detail'!K406</f>
        <v>21678.149999999998</v>
      </c>
      <c r="E11" s="23">
        <f>'2022 detail'!L406</f>
        <v>27218.399999999998</v>
      </c>
      <c r="F11" s="23">
        <f>'2022 detail'!M406</f>
        <v>27389.649999999998</v>
      </c>
      <c r="G11" s="23">
        <f>'2022 detail'!N406</f>
        <v>25794.399999999998</v>
      </c>
      <c r="H11" s="23">
        <f>'2022 detail'!O406</f>
        <v>41488.720000000001</v>
      </c>
      <c r="I11" s="23">
        <f>'2022 detail'!P406</f>
        <v>45012.679999999993</v>
      </c>
      <c r="J11" s="23"/>
      <c r="K11" s="23"/>
      <c r="L11" s="23">
        <f t="shared" si="1"/>
        <v>27712.35</v>
      </c>
      <c r="M11" s="3">
        <f t="shared" si="2"/>
        <v>49390.5</v>
      </c>
      <c r="N11" s="3">
        <f t="shared" si="3"/>
        <v>76608.899999999994</v>
      </c>
      <c r="O11" s="3">
        <f t="shared" si="4"/>
        <v>103998.54999999999</v>
      </c>
      <c r="P11" s="3">
        <f t="shared" si="5"/>
        <v>129792.94999999998</v>
      </c>
      <c r="Q11" s="3">
        <f t="shared" si="6"/>
        <v>171281.66999999998</v>
      </c>
      <c r="R11" s="3">
        <f t="shared" si="7"/>
        <v>216294.34999999998</v>
      </c>
    </row>
    <row r="12" spans="1:19" x14ac:dyDescent="0.2">
      <c r="A12" s="76" t="s">
        <v>871</v>
      </c>
      <c r="B12" s="124">
        <f>'Multi year deanery'!W57</f>
        <v>617639</v>
      </c>
      <c r="C12" s="23">
        <f>'2022 detail'!J467</f>
        <v>40084.150000000009</v>
      </c>
      <c r="D12" s="23">
        <f>'2022 detail'!K467</f>
        <v>43546.810000000012</v>
      </c>
      <c r="E12" s="23">
        <f>'2022 detail'!L467</f>
        <v>43357.500000000015</v>
      </c>
      <c r="F12" s="23">
        <f>'2022 detail'!M467</f>
        <v>41657.500000000015</v>
      </c>
      <c r="G12" s="23">
        <f>'2022 detail'!N467</f>
        <v>60197.500000000015</v>
      </c>
      <c r="H12" s="23">
        <f>'2022 detail'!O467</f>
        <v>52824.550000000017</v>
      </c>
      <c r="I12" s="23">
        <f>'2022 detail'!P467</f>
        <v>51630.000000000015</v>
      </c>
      <c r="J12" s="23"/>
      <c r="K12" s="23"/>
      <c r="L12" s="23">
        <f t="shared" si="1"/>
        <v>40084.150000000009</v>
      </c>
      <c r="M12" s="3">
        <f t="shared" si="2"/>
        <v>83630.960000000021</v>
      </c>
      <c r="N12" s="3">
        <f t="shared" si="3"/>
        <v>126988.46000000004</v>
      </c>
      <c r="O12" s="3">
        <f t="shared" si="4"/>
        <v>168645.96000000005</v>
      </c>
      <c r="P12" s="3">
        <f t="shared" si="5"/>
        <v>228843.46000000008</v>
      </c>
      <c r="Q12" s="3">
        <f t="shared" si="6"/>
        <v>281668.01000000013</v>
      </c>
      <c r="R12" s="3">
        <f t="shared" si="7"/>
        <v>333298.01000000013</v>
      </c>
    </row>
    <row r="13" spans="1:19" x14ac:dyDescent="0.2">
      <c r="A13" s="76" t="s">
        <v>872</v>
      </c>
      <c r="B13" s="124">
        <f>'Multi year deanery'!W58</f>
        <v>932405</v>
      </c>
      <c r="C13" s="23">
        <f>'2022 detail'!J507</f>
        <v>74378.11</v>
      </c>
      <c r="D13" s="23">
        <f>'2022 detail'!K507</f>
        <v>59427.49</v>
      </c>
      <c r="E13" s="23">
        <f>'2022 detail'!L507</f>
        <v>79148.13</v>
      </c>
      <c r="F13" s="23">
        <f>'2022 detail'!M507</f>
        <v>41107.130000000005</v>
      </c>
      <c r="G13" s="23">
        <f>'2022 detail'!N507</f>
        <v>80709.540000000008</v>
      </c>
      <c r="H13" s="23">
        <f>'2022 detail'!O507</f>
        <v>96351.46</v>
      </c>
      <c r="I13" s="23">
        <f>'2022 detail'!P507</f>
        <v>48192.540000000008</v>
      </c>
      <c r="J13" s="23"/>
      <c r="K13" s="23"/>
      <c r="L13" s="23">
        <f t="shared" si="1"/>
        <v>74378.11</v>
      </c>
      <c r="M13" s="3">
        <f t="shared" si="2"/>
        <v>133805.6</v>
      </c>
      <c r="N13" s="3">
        <f t="shared" si="3"/>
        <v>212953.73</v>
      </c>
      <c r="O13" s="3">
        <f t="shared" si="4"/>
        <v>254060.86000000002</v>
      </c>
      <c r="P13" s="3">
        <f t="shared" si="5"/>
        <v>334770.40000000002</v>
      </c>
      <c r="Q13" s="3">
        <f t="shared" si="6"/>
        <v>431121.86000000004</v>
      </c>
      <c r="R13" s="3">
        <f t="shared" si="7"/>
        <v>479314.4</v>
      </c>
    </row>
    <row r="14" spans="1:19" x14ac:dyDescent="0.2">
      <c r="B14" s="124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9" x14ac:dyDescent="0.2">
      <c r="B15" s="124">
        <f>SUM(B2:B14)</f>
        <v>8116012</v>
      </c>
      <c r="C15" s="23">
        <f t="shared" ref="C15:J15" si="8">SUM(C2:C14)</f>
        <v>378351.23</v>
      </c>
      <c r="D15" s="23">
        <f t="shared" si="8"/>
        <v>449442.02</v>
      </c>
      <c r="E15" s="23">
        <f t="shared" si="8"/>
        <v>517036.34</v>
      </c>
      <c r="F15" s="23">
        <f t="shared" si="8"/>
        <v>434875.54000000004</v>
      </c>
      <c r="G15" s="23">
        <f t="shared" si="8"/>
        <v>497786.23</v>
      </c>
      <c r="H15" s="23">
        <f t="shared" si="8"/>
        <v>599586.94000000006</v>
      </c>
      <c r="I15" s="23">
        <f t="shared" si="8"/>
        <v>498701.35</v>
      </c>
      <c r="J15" s="23">
        <f t="shared" si="8"/>
        <v>0</v>
      </c>
      <c r="K15" s="23"/>
      <c r="L15" s="23">
        <f>SUM(L2:L14)</f>
        <v>378351.23</v>
      </c>
      <c r="M15" s="23">
        <f t="shared" ref="M15:S15" si="9">SUM(M2:M14)</f>
        <v>827793.25000000012</v>
      </c>
      <c r="N15" s="23">
        <f t="shared" si="9"/>
        <v>1344829.59</v>
      </c>
      <c r="O15" s="23">
        <f t="shared" si="9"/>
        <v>1779705.1300000001</v>
      </c>
      <c r="P15" s="23">
        <f t="shared" si="9"/>
        <v>2277491.36</v>
      </c>
      <c r="Q15" s="23">
        <f t="shared" si="9"/>
        <v>2877078.3000000003</v>
      </c>
      <c r="R15" s="23">
        <f t="shared" si="9"/>
        <v>3375779.65</v>
      </c>
      <c r="S15" s="23">
        <f t="shared" si="9"/>
        <v>0</v>
      </c>
    </row>
    <row r="16" spans="1:19" x14ac:dyDescent="0.2">
      <c r="B16" s="124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9" x14ac:dyDescent="0.2">
      <c r="B17" s="124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9" x14ac:dyDescent="0.2">
      <c r="A18" t="s">
        <v>1169</v>
      </c>
      <c r="B18" s="260" t="s">
        <v>1050</v>
      </c>
      <c r="C18" s="7" t="s">
        <v>1154</v>
      </c>
      <c r="D18" s="7" t="s">
        <v>1155</v>
      </c>
      <c r="E18" s="7" t="s">
        <v>1156</v>
      </c>
      <c r="F18" s="7" t="s">
        <v>1157</v>
      </c>
      <c r="G18" s="7" t="s">
        <v>1158</v>
      </c>
      <c r="H18" s="7" t="s">
        <v>1159</v>
      </c>
      <c r="I18" s="7" t="s">
        <v>1160</v>
      </c>
      <c r="J18" s="7" t="s">
        <v>1182</v>
      </c>
      <c r="K18" s="7"/>
      <c r="L18" s="7" t="s">
        <v>1161</v>
      </c>
      <c r="M18" s="7" t="s">
        <v>1162</v>
      </c>
      <c r="N18" s="7" t="s">
        <v>1163</v>
      </c>
      <c r="O18" s="7" t="s">
        <v>1164</v>
      </c>
      <c r="P18" s="7" t="s">
        <v>1165</v>
      </c>
      <c r="Q18" s="7" t="s">
        <v>1166</v>
      </c>
      <c r="R18" s="7" t="s">
        <v>1167</v>
      </c>
      <c r="S18" s="7" t="s">
        <v>1183</v>
      </c>
    </row>
    <row r="19" spans="1:19" x14ac:dyDescent="0.2">
      <c r="A19" s="76" t="s">
        <v>880</v>
      </c>
      <c r="B19" s="124">
        <f>'Multi year deanery'!W47</f>
        <v>481880</v>
      </c>
      <c r="C19" s="23">
        <v>469980.7</v>
      </c>
      <c r="D19" s="23">
        <v>450418.68</v>
      </c>
      <c r="E19" s="23">
        <v>426147.66</v>
      </c>
      <c r="F19" s="23">
        <v>401972.64</v>
      </c>
      <c r="G19" s="23">
        <v>387191.62</v>
      </c>
      <c r="H19" s="23">
        <v>346620.6</v>
      </c>
      <c r="I19" s="23">
        <v>312555.53000000003</v>
      </c>
      <c r="J19" s="23">
        <v>289184.51</v>
      </c>
      <c r="K19" s="23"/>
      <c r="L19" s="23">
        <f>$B19-C19</f>
        <v>11899.299999999988</v>
      </c>
      <c r="M19" s="23">
        <f>$B19-D19</f>
        <v>31461.320000000007</v>
      </c>
      <c r="N19" s="23">
        <f>$B19-E19</f>
        <v>55732.340000000026</v>
      </c>
      <c r="O19" s="23">
        <f>$B19-F19</f>
        <v>79907.359999999986</v>
      </c>
      <c r="P19" s="23">
        <f>$B19-G19</f>
        <v>94688.38</v>
      </c>
      <c r="Q19" s="23">
        <f t="shared" ref="Q19:S19" si="10">$B19-H19</f>
        <v>135259.40000000002</v>
      </c>
      <c r="R19" s="23">
        <f t="shared" si="10"/>
        <v>169324.46999999997</v>
      </c>
      <c r="S19" s="23">
        <f t="shared" si="10"/>
        <v>192695.49</v>
      </c>
    </row>
    <row r="20" spans="1:19" x14ac:dyDescent="0.2">
      <c r="A20" s="76" t="s">
        <v>862</v>
      </c>
      <c r="B20" s="124">
        <f>'Multi year deanery'!W48</f>
        <v>524093</v>
      </c>
      <c r="C20" s="23">
        <v>522689.23</v>
      </c>
      <c r="D20" s="23">
        <v>494834.8</v>
      </c>
      <c r="E20" s="23">
        <v>458289.51</v>
      </c>
      <c r="F20" s="23">
        <v>431744.22</v>
      </c>
      <c r="G20" s="23">
        <v>403198.93</v>
      </c>
      <c r="H20" s="23">
        <v>370616.64</v>
      </c>
      <c r="I20" s="23">
        <v>334947.34999999998</v>
      </c>
      <c r="J20" s="23">
        <v>301106.40999999997</v>
      </c>
      <c r="K20" s="23"/>
      <c r="L20" s="23">
        <f t="shared" ref="L20:L30" si="11">$B20-C20</f>
        <v>1403.7700000000186</v>
      </c>
      <c r="M20" s="23">
        <f t="shared" ref="M20:M30" si="12">$B20-D20</f>
        <v>29258.200000000012</v>
      </c>
      <c r="N20" s="23">
        <f t="shared" ref="N20:N30" si="13">$B20-E20</f>
        <v>65803.489999999991</v>
      </c>
      <c r="O20" s="23">
        <f t="shared" ref="O20:O30" si="14">$B20-F20</f>
        <v>92348.780000000028</v>
      </c>
      <c r="P20" s="23">
        <f t="shared" ref="P20:P30" si="15">$B20-G20</f>
        <v>120894.07</v>
      </c>
      <c r="Q20" s="23">
        <f t="shared" ref="Q20:Q30" si="16">$B20-H20</f>
        <v>153476.35999999999</v>
      </c>
      <c r="R20" s="23">
        <f t="shared" ref="R20:S30" si="17">$B20-I20</f>
        <v>189145.65000000002</v>
      </c>
      <c r="S20" s="23">
        <f t="shared" si="17"/>
        <v>222986.59000000003</v>
      </c>
    </row>
    <row r="21" spans="1:19" x14ac:dyDescent="0.2">
      <c r="A21" s="76" t="s">
        <v>863</v>
      </c>
      <c r="B21" s="124">
        <f>'Multi year deanery'!W49</f>
        <v>432076</v>
      </c>
      <c r="C21" s="23">
        <v>415478.98</v>
      </c>
      <c r="D21" s="23">
        <v>397715.1</v>
      </c>
      <c r="E21" s="23">
        <v>367742.38</v>
      </c>
      <c r="F21" s="23">
        <v>342933.01</v>
      </c>
      <c r="G21" s="23">
        <v>312933.90999999997</v>
      </c>
      <c r="H21" s="23">
        <v>289378.81</v>
      </c>
      <c r="I21" s="23">
        <v>271947.94</v>
      </c>
      <c r="J21" s="23">
        <v>243397.07</v>
      </c>
      <c r="K21" s="23"/>
      <c r="L21" s="23">
        <f t="shared" si="11"/>
        <v>16597.020000000019</v>
      </c>
      <c r="M21" s="23">
        <f t="shared" si="12"/>
        <v>34360.900000000023</v>
      </c>
      <c r="N21" s="23">
        <f t="shared" si="13"/>
        <v>64333.619999999995</v>
      </c>
      <c r="O21" s="23">
        <f t="shared" si="14"/>
        <v>89142.989999999991</v>
      </c>
      <c r="P21" s="23">
        <f t="shared" si="15"/>
        <v>119142.09000000003</v>
      </c>
      <c r="Q21" s="23">
        <f t="shared" si="16"/>
        <v>142697.19</v>
      </c>
      <c r="R21" s="23">
        <f t="shared" si="17"/>
        <v>160128.06</v>
      </c>
      <c r="S21" s="23">
        <f t="shared" si="17"/>
        <v>188678.93</v>
      </c>
    </row>
    <row r="22" spans="1:19" x14ac:dyDescent="0.2">
      <c r="A22" s="76" t="s">
        <v>864</v>
      </c>
      <c r="B22" s="124">
        <f>'Multi year deanery'!W50</f>
        <v>1497847</v>
      </c>
      <c r="C22" s="23">
        <v>1419362.41</v>
      </c>
      <c r="D22" s="23">
        <v>1333676.6599999999</v>
      </c>
      <c r="E22" s="23">
        <v>1251897.5900000001</v>
      </c>
      <c r="F22" s="23">
        <v>1177455.52</v>
      </c>
      <c r="G22" s="23">
        <v>1099441.95</v>
      </c>
      <c r="H22" s="23">
        <v>1016011.72</v>
      </c>
      <c r="I22" s="23">
        <v>940164.81</v>
      </c>
      <c r="J22" s="23">
        <v>841034.58</v>
      </c>
      <c r="K22" s="23"/>
      <c r="L22" s="23">
        <f t="shared" si="11"/>
        <v>78484.590000000084</v>
      </c>
      <c r="M22" s="23">
        <f t="shared" si="12"/>
        <v>164170.34000000008</v>
      </c>
      <c r="N22" s="23">
        <f t="shared" si="13"/>
        <v>245949.40999999992</v>
      </c>
      <c r="O22" s="23">
        <f t="shared" si="14"/>
        <v>320391.48</v>
      </c>
      <c r="P22" s="23">
        <f t="shared" si="15"/>
        <v>398405.05000000005</v>
      </c>
      <c r="Q22" s="23">
        <f t="shared" si="16"/>
        <v>481835.28</v>
      </c>
      <c r="R22" s="23">
        <f t="shared" si="17"/>
        <v>557682.18999999994</v>
      </c>
      <c r="S22" s="23">
        <f t="shared" si="17"/>
        <v>656812.42000000004</v>
      </c>
    </row>
    <row r="23" spans="1:19" x14ac:dyDescent="0.2">
      <c r="A23" s="76" t="s">
        <v>865</v>
      </c>
      <c r="B23" s="124">
        <f>'Multi year deanery'!W51</f>
        <v>591370</v>
      </c>
      <c r="C23" s="23">
        <v>571349.18000000005</v>
      </c>
      <c r="D23" s="23">
        <v>547193.26</v>
      </c>
      <c r="E23" s="23">
        <v>500977.41</v>
      </c>
      <c r="F23" s="23">
        <v>477690.31</v>
      </c>
      <c r="G23" s="23">
        <v>445987.99</v>
      </c>
      <c r="H23" s="23">
        <v>402514.58</v>
      </c>
      <c r="I23" s="23">
        <v>376142.26</v>
      </c>
      <c r="J23" s="23">
        <v>351044.94</v>
      </c>
      <c r="K23" s="23"/>
      <c r="L23" s="23">
        <f t="shared" si="11"/>
        <v>20020.819999999949</v>
      </c>
      <c r="M23" s="23">
        <f t="shared" si="12"/>
        <v>44176.739999999991</v>
      </c>
      <c r="N23" s="23">
        <f t="shared" si="13"/>
        <v>90392.590000000026</v>
      </c>
      <c r="O23" s="23">
        <f t="shared" si="14"/>
        <v>113679.69</v>
      </c>
      <c r="P23" s="23">
        <f t="shared" si="15"/>
        <v>145382.01</v>
      </c>
      <c r="Q23" s="23">
        <f t="shared" si="16"/>
        <v>188855.41999999998</v>
      </c>
      <c r="R23" s="23">
        <f t="shared" si="17"/>
        <v>215227.74</v>
      </c>
      <c r="S23" s="23">
        <f t="shared" si="17"/>
        <v>240325.06</v>
      </c>
    </row>
    <row r="24" spans="1:19" x14ac:dyDescent="0.2">
      <c r="A24" s="76" t="s">
        <v>866</v>
      </c>
      <c r="B24" s="124">
        <f>'Multi year deanery'!W52</f>
        <v>773493</v>
      </c>
      <c r="C24" s="23">
        <v>748485.26</v>
      </c>
      <c r="D24" s="23">
        <v>713524.6</v>
      </c>
      <c r="E24" s="23">
        <v>672346.44</v>
      </c>
      <c r="F24" s="23">
        <v>636528.03</v>
      </c>
      <c r="G24" s="23">
        <v>603461.37</v>
      </c>
      <c r="H24" s="23">
        <v>549744.46</v>
      </c>
      <c r="I24" s="23">
        <v>498268.72</v>
      </c>
      <c r="J24" s="23">
        <v>445706.98</v>
      </c>
      <c r="K24" s="23"/>
      <c r="L24" s="23">
        <f t="shared" si="11"/>
        <v>25007.739999999991</v>
      </c>
      <c r="M24" s="23">
        <f t="shared" si="12"/>
        <v>59968.400000000023</v>
      </c>
      <c r="N24" s="23">
        <f t="shared" si="13"/>
        <v>101146.56000000006</v>
      </c>
      <c r="O24" s="23">
        <f t="shared" si="14"/>
        <v>136964.96999999997</v>
      </c>
      <c r="P24" s="23">
        <f t="shared" si="15"/>
        <v>170031.63</v>
      </c>
      <c r="Q24" s="23">
        <f t="shared" si="16"/>
        <v>223748.54000000004</v>
      </c>
      <c r="R24" s="23">
        <f t="shared" si="17"/>
        <v>275224.28000000003</v>
      </c>
      <c r="S24" s="23">
        <f t="shared" si="17"/>
        <v>327786.02</v>
      </c>
    </row>
    <row r="25" spans="1:19" x14ac:dyDescent="0.2">
      <c r="A25" s="76" t="s">
        <v>867</v>
      </c>
      <c r="B25" s="124">
        <f>'Multi year deanery'!W53</f>
        <v>891905</v>
      </c>
      <c r="C25" s="23">
        <v>850044.46</v>
      </c>
      <c r="D25" s="23">
        <v>778768.11</v>
      </c>
      <c r="E25" s="23">
        <v>718759.47</v>
      </c>
      <c r="F25" s="23">
        <v>645747.03</v>
      </c>
      <c r="G25" s="23">
        <v>581401.76</v>
      </c>
      <c r="H25" s="23">
        <v>527650.67000000004</v>
      </c>
      <c r="I25" s="23">
        <v>458382.3</v>
      </c>
      <c r="J25" s="23">
        <v>397502.13</v>
      </c>
      <c r="K25" s="23"/>
      <c r="L25" s="23">
        <f t="shared" si="11"/>
        <v>41860.540000000037</v>
      </c>
      <c r="M25" s="23">
        <f t="shared" si="12"/>
        <v>113136.89000000001</v>
      </c>
      <c r="N25" s="23">
        <f t="shared" si="13"/>
        <v>173145.53000000003</v>
      </c>
      <c r="O25" s="23">
        <f t="shared" si="14"/>
        <v>246157.96999999997</v>
      </c>
      <c r="P25" s="23">
        <f t="shared" si="15"/>
        <v>310503.24</v>
      </c>
      <c r="Q25" s="23">
        <f t="shared" si="16"/>
        <v>364254.32999999996</v>
      </c>
      <c r="R25" s="23">
        <f t="shared" si="17"/>
        <v>433522.7</v>
      </c>
      <c r="S25" s="23">
        <f t="shared" si="17"/>
        <v>494402.87</v>
      </c>
    </row>
    <row r="26" spans="1:19" x14ac:dyDescent="0.2">
      <c r="A26" s="76" t="s">
        <v>868</v>
      </c>
      <c r="B26" s="124">
        <f>'Multi year deanery'!W54</f>
        <v>518533</v>
      </c>
      <c r="C26" s="23">
        <v>492496.02</v>
      </c>
      <c r="D26" s="23">
        <v>466459.2</v>
      </c>
      <c r="E26" s="23">
        <v>434422.38</v>
      </c>
      <c r="F26" s="23">
        <v>408385.56</v>
      </c>
      <c r="G26" s="23">
        <v>377348.74</v>
      </c>
      <c r="H26" s="23">
        <v>339711.92</v>
      </c>
      <c r="I26" s="23">
        <v>312675.09999999998</v>
      </c>
      <c r="J26" s="23">
        <v>275538.28000000003</v>
      </c>
      <c r="K26" s="23"/>
      <c r="L26" s="23">
        <f t="shared" si="11"/>
        <v>26036.979999999981</v>
      </c>
      <c r="M26" s="23">
        <f t="shared" si="12"/>
        <v>52073.799999999988</v>
      </c>
      <c r="N26" s="23">
        <f t="shared" si="13"/>
        <v>84110.62</v>
      </c>
      <c r="O26" s="23">
        <f t="shared" si="14"/>
        <v>110147.44</v>
      </c>
      <c r="P26" s="23">
        <f t="shared" si="15"/>
        <v>141184.26</v>
      </c>
      <c r="Q26" s="23">
        <f t="shared" si="16"/>
        <v>178821.08000000002</v>
      </c>
      <c r="R26" s="23">
        <f t="shared" si="17"/>
        <v>205857.90000000002</v>
      </c>
      <c r="S26" s="23">
        <f t="shared" si="17"/>
        <v>242994.71999999997</v>
      </c>
    </row>
    <row r="27" spans="1:19" x14ac:dyDescent="0.2">
      <c r="A27" s="76" t="s">
        <v>869</v>
      </c>
      <c r="B27" s="124">
        <f>'Multi year deanery'!W55</f>
        <v>316156</v>
      </c>
      <c r="C27" s="23">
        <v>299101.14</v>
      </c>
      <c r="D27" s="23">
        <v>283796.40000000002</v>
      </c>
      <c r="E27" s="23">
        <v>268491.65999999997</v>
      </c>
      <c r="F27" s="23">
        <v>251896.92</v>
      </c>
      <c r="G27" s="23">
        <v>232302.18</v>
      </c>
      <c r="H27" s="23">
        <v>191414.84</v>
      </c>
      <c r="I27" s="23">
        <v>174070.1</v>
      </c>
      <c r="J27" s="23">
        <v>156475.35999999999</v>
      </c>
      <c r="K27" s="23"/>
      <c r="L27" s="23">
        <f t="shared" si="11"/>
        <v>17054.859999999986</v>
      </c>
      <c r="M27" s="23">
        <f t="shared" si="12"/>
        <v>32359.599999999977</v>
      </c>
      <c r="N27" s="23">
        <f t="shared" si="13"/>
        <v>47664.340000000026</v>
      </c>
      <c r="O27" s="23">
        <f t="shared" si="14"/>
        <v>64259.079999999987</v>
      </c>
      <c r="P27" s="23">
        <f t="shared" si="15"/>
        <v>83853.820000000007</v>
      </c>
      <c r="Q27" s="23">
        <f t="shared" si="16"/>
        <v>124741.16</v>
      </c>
      <c r="R27" s="23">
        <f t="shared" si="17"/>
        <v>142085.9</v>
      </c>
      <c r="S27" s="23">
        <f t="shared" si="17"/>
        <v>159680.64000000001</v>
      </c>
    </row>
    <row r="28" spans="1:19" x14ac:dyDescent="0.2">
      <c r="A28" s="76" t="s">
        <v>870</v>
      </c>
      <c r="B28" s="124">
        <f>'Multi year deanery'!W56</f>
        <v>538615</v>
      </c>
      <c r="C28" s="23">
        <v>510902.65</v>
      </c>
      <c r="D28" s="23">
        <v>489224.5</v>
      </c>
      <c r="E28" s="23">
        <v>462006.1</v>
      </c>
      <c r="F28" s="23">
        <v>434616.45</v>
      </c>
      <c r="G28" s="23">
        <v>408822.05</v>
      </c>
      <c r="H28" s="23">
        <v>367333.33</v>
      </c>
      <c r="I28" s="23">
        <v>322320.65000000002</v>
      </c>
      <c r="J28" s="23">
        <v>297231.96999999997</v>
      </c>
      <c r="K28" s="23"/>
      <c r="L28" s="23">
        <f t="shared" si="11"/>
        <v>27712.349999999977</v>
      </c>
      <c r="M28" s="23">
        <f t="shared" si="12"/>
        <v>49390.5</v>
      </c>
      <c r="N28" s="23">
        <f t="shared" si="13"/>
        <v>76608.900000000023</v>
      </c>
      <c r="O28" s="23">
        <f t="shared" si="14"/>
        <v>103998.54999999999</v>
      </c>
      <c r="P28" s="23">
        <f t="shared" si="15"/>
        <v>129792.95000000001</v>
      </c>
      <c r="Q28" s="23">
        <f t="shared" si="16"/>
        <v>171281.66999999998</v>
      </c>
      <c r="R28" s="23">
        <f t="shared" si="17"/>
        <v>216294.34999999998</v>
      </c>
      <c r="S28" s="23">
        <f t="shared" si="17"/>
        <v>241383.03000000003</v>
      </c>
    </row>
    <row r="29" spans="1:19" x14ac:dyDescent="0.2">
      <c r="A29" s="76" t="s">
        <v>871</v>
      </c>
      <c r="B29" s="124">
        <f>'Multi year deanery'!W57</f>
        <v>617639</v>
      </c>
      <c r="C29" s="23">
        <v>577554.85</v>
      </c>
      <c r="D29" s="23">
        <v>534008.04</v>
      </c>
      <c r="E29" s="23">
        <v>490650.54</v>
      </c>
      <c r="F29" s="23">
        <v>448993.04</v>
      </c>
      <c r="G29" s="23">
        <v>388795.54</v>
      </c>
      <c r="H29" s="23">
        <v>335970.99</v>
      </c>
      <c r="I29" s="23">
        <v>288779.99</v>
      </c>
      <c r="J29" s="23">
        <v>243354.49</v>
      </c>
      <c r="K29" s="23"/>
      <c r="L29" s="23">
        <f t="shared" si="11"/>
        <v>40084.150000000023</v>
      </c>
      <c r="M29" s="23">
        <f t="shared" si="12"/>
        <v>83630.959999999963</v>
      </c>
      <c r="N29" s="23">
        <f t="shared" si="13"/>
        <v>126988.46000000002</v>
      </c>
      <c r="O29" s="23">
        <f t="shared" si="14"/>
        <v>168645.96000000002</v>
      </c>
      <c r="P29" s="23">
        <f t="shared" si="15"/>
        <v>228843.46000000002</v>
      </c>
      <c r="Q29" s="23">
        <f t="shared" si="16"/>
        <v>281668.01</v>
      </c>
      <c r="R29" s="23">
        <f t="shared" si="17"/>
        <v>328859.01</v>
      </c>
      <c r="S29" s="23">
        <f t="shared" si="17"/>
        <v>374284.51</v>
      </c>
    </row>
    <row r="30" spans="1:19" x14ac:dyDescent="0.2">
      <c r="A30" s="76" t="s">
        <v>872</v>
      </c>
      <c r="B30" s="124">
        <f>'Multi year deanery'!W58</f>
        <v>932405</v>
      </c>
      <c r="C30" s="23">
        <v>858026.89</v>
      </c>
      <c r="D30" s="23">
        <v>798599.4</v>
      </c>
      <c r="E30" s="23">
        <v>719451.27</v>
      </c>
      <c r="F30" s="23">
        <v>678344.14</v>
      </c>
      <c r="G30" s="23">
        <v>597634.6</v>
      </c>
      <c r="H30" s="23">
        <v>501283.14</v>
      </c>
      <c r="I30" s="23">
        <v>453090.6</v>
      </c>
      <c r="J30" s="23">
        <v>407325.06</v>
      </c>
      <c r="K30" s="23"/>
      <c r="L30" s="23">
        <f t="shared" si="11"/>
        <v>74378.109999999986</v>
      </c>
      <c r="M30" s="23">
        <f t="shared" si="12"/>
        <v>133805.59999999998</v>
      </c>
      <c r="N30" s="23">
        <f t="shared" si="13"/>
        <v>212953.72999999998</v>
      </c>
      <c r="O30" s="23">
        <f t="shared" si="14"/>
        <v>254060.86</v>
      </c>
      <c r="P30" s="23">
        <f t="shared" si="15"/>
        <v>334770.40000000002</v>
      </c>
      <c r="Q30" s="23">
        <f t="shared" si="16"/>
        <v>431121.86</v>
      </c>
      <c r="R30" s="23">
        <f t="shared" si="17"/>
        <v>479314.4</v>
      </c>
      <c r="S30" s="23">
        <f t="shared" si="17"/>
        <v>525079.93999999994</v>
      </c>
    </row>
    <row r="31" spans="1:19" x14ac:dyDescent="0.2">
      <c r="B31" s="12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x14ac:dyDescent="0.2">
      <c r="B32" s="124">
        <f>SUM(B19:B31)</f>
        <v>8116012</v>
      </c>
      <c r="C32" s="23">
        <f t="shared" ref="C32" si="18">SUM(C19:C31)</f>
        <v>7735471.7699999996</v>
      </c>
      <c r="D32" s="23">
        <f t="shared" ref="D32" si="19">SUM(D19:D31)</f>
        <v>7288218.7500000009</v>
      </c>
      <c r="E32" s="23">
        <f t="shared" ref="E32" si="20">SUM(E19:E31)</f>
        <v>6771182.4100000001</v>
      </c>
      <c r="F32" s="23">
        <f t="shared" ref="F32" si="21">SUM(F19:F31)</f>
        <v>6336306.8700000001</v>
      </c>
      <c r="G32" s="23">
        <f t="shared" ref="G32" si="22">SUM(G19:G31)</f>
        <v>5838520.6399999997</v>
      </c>
      <c r="H32" s="23">
        <f t="shared" ref="H32" si="23">SUM(H19:H31)</f>
        <v>5238251.6999999993</v>
      </c>
      <c r="I32" s="23">
        <f t="shared" ref="I32:J32" si="24">SUM(I19:I31)</f>
        <v>4743345.3499999996</v>
      </c>
      <c r="J32" s="23">
        <f t="shared" si="24"/>
        <v>4248901.7799999993</v>
      </c>
      <c r="K32" s="23"/>
      <c r="L32" s="23">
        <f t="shared" ref="L32" si="25">SUM(L19:L31)</f>
        <v>380540.23000000004</v>
      </c>
      <c r="M32" s="23">
        <f t="shared" ref="M32" si="26">SUM(M19:M31)</f>
        <v>827793.25</v>
      </c>
      <c r="N32" s="23">
        <f t="shared" ref="N32" si="27">SUM(N19:N31)</f>
        <v>1344829.59</v>
      </c>
      <c r="O32" s="23">
        <f t="shared" ref="O32" si="28">SUM(O19:O31)</f>
        <v>1779705.13</v>
      </c>
      <c r="P32" s="23">
        <f t="shared" ref="P32" si="29">SUM(P19:P31)</f>
        <v>2277491.3600000003</v>
      </c>
      <c r="Q32" s="23">
        <f t="shared" ref="Q32" si="30">SUM(Q19:Q31)</f>
        <v>2877760.3000000003</v>
      </c>
      <c r="R32" s="23">
        <f t="shared" ref="R32:S32" si="31">SUM(R19:R31)</f>
        <v>3372666.65</v>
      </c>
      <c r="S32" s="23">
        <f t="shared" si="31"/>
        <v>3867110.22</v>
      </c>
    </row>
    <row r="33" spans="2:19" x14ac:dyDescent="0.2">
      <c r="B33" s="124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2:19" x14ac:dyDescent="0.2">
      <c r="C34" s="23"/>
      <c r="D34" s="23"/>
      <c r="E34" s="23"/>
      <c r="F34" s="23"/>
      <c r="G34" s="23"/>
      <c r="H34" s="23"/>
      <c r="I34" s="23"/>
      <c r="J34" s="23"/>
      <c r="K34" t="s">
        <v>1172</v>
      </c>
      <c r="L34" s="23">
        <f>ROUND((L2-L19),2)</f>
        <v>0</v>
      </c>
      <c r="M34" s="23">
        <f t="shared" ref="M34:R34" si="32">ROUND((M2-M19),2)</f>
        <v>0</v>
      </c>
      <c r="N34" s="23">
        <f t="shared" si="32"/>
        <v>0</v>
      </c>
      <c r="O34" s="23">
        <f t="shared" si="32"/>
        <v>0</v>
      </c>
      <c r="P34" s="23">
        <f t="shared" si="32"/>
        <v>0</v>
      </c>
      <c r="Q34" s="23">
        <f t="shared" si="32"/>
        <v>0</v>
      </c>
      <c r="R34" s="23">
        <f t="shared" si="32"/>
        <v>0</v>
      </c>
      <c r="S34" s="23">
        <f t="shared" ref="S34" si="33">ROUND((S2-S19),2)</f>
        <v>-192695.49</v>
      </c>
    </row>
    <row r="35" spans="2:19" x14ac:dyDescent="0.2">
      <c r="C35" s="23"/>
      <c r="D35" s="23"/>
      <c r="E35" s="23"/>
      <c r="F35" s="23"/>
      <c r="G35" s="23"/>
      <c r="H35" s="23"/>
      <c r="I35" s="23"/>
      <c r="J35" s="23"/>
      <c r="K35" s="23" t="s">
        <v>1170</v>
      </c>
      <c r="L35" s="23">
        <f t="shared" ref="L35:R35" si="34">ROUND((L3-L20),2)</f>
        <v>21842</v>
      </c>
      <c r="M35" s="23">
        <f t="shared" si="34"/>
        <v>21842</v>
      </c>
      <c r="N35" s="23">
        <f t="shared" si="34"/>
        <v>21842</v>
      </c>
      <c r="O35" s="23">
        <f t="shared" si="34"/>
        <v>21842</v>
      </c>
      <c r="P35" s="23">
        <f t="shared" si="34"/>
        <v>21842</v>
      </c>
      <c r="Q35" s="23">
        <f t="shared" si="34"/>
        <v>21842</v>
      </c>
      <c r="R35" s="23">
        <f t="shared" si="34"/>
        <v>18842</v>
      </c>
      <c r="S35" s="23">
        <f t="shared" ref="S35" si="35">ROUND((S3-S20),2)</f>
        <v>-222986.59</v>
      </c>
    </row>
    <row r="36" spans="2:19" x14ac:dyDescent="0.2">
      <c r="C36" s="23"/>
      <c r="D36" s="23"/>
      <c r="E36" s="23"/>
      <c r="F36" s="23"/>
      <c r="G36" s="23"/>
      <c r="H36" s="23"/>
      <c r="I36" s="23"/>
      <c r="J36" s="23"/>
      <c r="K36" t="s">
        <v>1173</v>
      </c>
      <c r="L36" s="23">
        <f t="shared" ref="L36:R36" si="36">ROUND((L4-L21),2)</f>
        <v>0</v>
      </c>
      <c r="M36" s="23">
        <f t="shared" si="36"/>
        <v>0</v>
      </c>
      <c r="N36" s="23">
        <f t="shared" si="36"/>
        <v>0</v>
      </c>
      <c r="O36" s="23">
        <f t="shared" si="36"/>
        <v>0</v>
      </c>
      <c r="P36" s="23">
        <f t="shared" si="36"/>
        <v>0</v>
      </c>
      <c r="Q36" s="23">
        <f t="shared" si="36"/>
        <v>0</v>
      </c>
      <c r="R36" s="23">
        <f t="shared" si="36"/>
        <v>0</v>
      </c>
      <c r="S36" s="23">
        <f t="shared" ref="S36" si="37">ROUND((S4-S21),2)</f>
        <v>-188678.93</v>
      </c>
    </row>
    <row r="37" spans="2:19" x14ac:dyDescent="0.2">
      <c r="C37" s="23"/>
      <c r="D37" s="23"/>
      <c r="E37" s="23"/>
      <c r="F37" s="23"/>
      <c r="G37" s="23"/>
      <c r="H37" s="23"/>
      <c r="I37" s="23"/>
      <c r="J37" s="23"/>
      <c r="K37" s="23" t="s">
        <v>1171</v>
      </c>
      <c r="L37" s="23">
        <f t="shared" ref="L37:R37" si="38">ROUND((L5-L22),2)</f>
        <v>-21842</v>
      </c>
      <c r="M37" s="23">
        <f t="shared" si="38"/>
        <v>-21842</v>
      </c>
      <c r="N37" s="23">
        <f t="shared" si="38"/>
        <v>-21842</v>
      </c>
      <c r="O37" s="23">
        <f t="shared" si="38"/>
        <v>-21842</v>
      </c>
      <c r="P37" s="23">
        <f t="shared" si="38"/>
        <v>-21842</v>
      </c>
      <c r="Q37" s="23">
        <f t="shared" si="38"/>
        <v>-21842</v>
      </c>
      <c r="R37" s="23">
        <f t="shared" si="38"/>
        <v>-18842</v>
      </c>
      <c r="S37" s="23">
        <f t="shared" ref="S37" si="39">ROUND((S5-S22),2)</f>
        <v>-656812.42000000004</v>
      </c>
    </row>
    <row r="38" spans="2:19" x14ac:dyDescent="0.2">
      <c r="C38" s="23"/>
      <c r="D38" s="23"/>
      <c r="E38" s="23"/>
      <c r="F38" s="23"/>
      <c r="G38" s="23"/>
      <c r="H38" s="23"/>
      <c r="I38" s="23"/>
      <c r="J38" s="23"/>
      <c r="K38" s="23" t="s">
        <v>1174</v>
      </c>
      <c r="L38" s="23">
        <f t="shared" ref="L38:R38" si="40">ROUND((L6-L23),2)</f>
        <v>0</v>
      </c>
      <c r="M38" s="23">
        <f t="shared" si="40"/>
        <v>0</v>
      </c>
      <c r="N38" s="23">
        <f t="shared" si="40"/>
        <v>0</v>
      </c>
      <c r="O38" s="23">
        <f t="shared" si="40"/>
        <v>0</v>
      </c>
      <c r="P38" s="23">
        <f t="shared" si="40"/>
        <v>0</v>
      </c>
      <c r="Q38" s="23">
        <f t="shared" si="40"/>
        <v>-682</v>
      </c>
      <c r="R38" s="23">
        <f t="shared" si="40"/>
        <v>-682</v>
      </c>
      <c r="S38" s="23">
        <f t="shared" ref="S38" si="41">ROUND((S6-S23),2)</f>
        <v>-240325.06</v>
      </c>
    </row>
    <row r="39" spans="2:19" x14ac:dyDescent="0.2">
      <c r="C39" s="23"/>
      <c r="D39" s="23"/>
      <c r="E39" s="23"/>
      <c r="F39" s="23"/>
      <c r="G39" s="23"/>
      <c r="H39" s="23"/>
      <c r="I39" s="23"/>
      <c r="J39" s="23"/>
      <c r="K39" s="23" t="s">
        <v>1175</v>
      </c>
      <c r="L39" s="23">
        <f t="shared" ref="L39:R39" si="42">ROUND((L7-L24),2)</f>
        <v>-2189</v>
      </c>
      <c r="M39" s="23">
        <f t="shared" si="42"/>
        <v>0</v>
      </c>
      <c r="N39" s="23">
        <f t="shared" si="42"/>
        <v>0</v>
      </c>
      <c r="O39" s="23">
        <f t="shared" si="42"/>
        <v>0</v>
      </c>
      <c r="P39" s="23">
        <f t="shared" si="42"/>
        <v>0</v>
      </c>
      <c r="Q39" s="23">
        <f t="shared" si="42"/>
        <v>0</v>
      </c>
      <c r="R39" s="23">
        <f t="shared" si="42"/>
        <v>-644</v>
      </c>
      <c r="S39" s="23">
        <f t="shared" ref="S39" si="43">ROUND((S7-S24),2)</f>
        <v>-327786.02</v>
      </c>
    </row>
    <row r="40" spans="2:19" x14ac:dyDescent="0.2">
      <c r="C40" s="23"/>
      <c r="D40" s="23"/>
      <c r="E40" s="23"/>
      <c r="F40" s="23"/>
      <c r="G40" s="23"/>
      <c r="H40" s="23"/>
      <c r="I40" s="23"/>
      <c r="J40" s="23"/>
      <c r="K40" s="23" t="s">
        <v>1176</v>
      </c>
      <c r="L40" s="23">
        <f t="shared" ref="L40:R40" si="44">ROUND((L8-L25),2)</f>
        <v>0</v>
      </c>
      <c r="M40" s="23">
        <f t="shared" si="44"/>
        <v>0</v>
      </c>
      <c r="N40" s="23">
        <f t="shared" si="44"/>
        <v>0</v>
      </c>
      <c r="O40" s="23">
        <f t="shared" si="44"/>
        <v>0</v>
      </c>
      <c r="P40" s="23">
        <f t="shared" si="44"/>
        <v>0</v>
      </c>
      <c r="Q40" s="23">
        <f t="shared" si="44"/>
        <v>0</v>
      </c>
      <c r="R40" s="23">
        <f t="shared" si="44"/>
        <v>0</v>
      </c>
      <c r="S40" s="23">
        <f t="shared" ref="S40" si="45">ROUND((S8-S25),2)</f>
        <v>-494402.87</v>
      </c>
    </row>
    <row r="41" spans="2:19" x14ac:dyDescent="0.2">
      <c r="C41" s="23"/>
      <c r="D41" s="23"/>
      <c r="E41" s="23"/>
      <c r="F41" s="23"/>
      <c r="G41" s="23"/>
      <c r="H41" s="23"/>
      <c r="I41" s="23"/>
      <c r="J41" s="23"/>
      <c r="K41" s="23" t="s">
        <v>1177</v>
      </c>
      <c r="L41" s="23">
        <f t="shared" ref="L41:R41" si="46">ROUND((L9-L26),2)</f>
        <v>0</v>
      </c>
      <c r="M41" s="23">
        <f t="shared" si="46"/>
        <v>0</v>
      </c>
      <c r="N41" s="23">
        <f t="shared" si="46"/>
        <v>0</v>
      </c>
      <c r="O41" s="23">
        <f t="shared" si="46"/>
        <v>0</v>
      </c>
      <c r="P41" s="23">
        <f t="shared" si="46"/>
        <v>0</v>
      </c>
      <c r="Q41" s="23">
        <f t="shared" si="46"/>
        <v>0</v>
      </c>
      <c r="R41" s="23">
        <f t="shared" si="46"/>
        <v>0</v>
      </c>
      <c r="S41" s="23">
        <f t="shared" ref="S41" si="47">ROUND((S9-S26),2)</f>
        <v>-242994.72</v>
      </c>
    </row>
    <row r="42" spans="2:19" x14ac:dyDescent="0.2">
      <c r="K42" s="23" t="s">
        <v>1178</v>
      </c>
      <c r="L42" s="23">
        <f t="shared" ref="L42:R42" si="48">ROUND((L10-L27),2)</f>
        <v>0</v>
      </c>
      <c r="M42" s="23">
        <f t="shared" si="48"/>
        <v>0</v>
      </c>
      <c r="N42" s="23">
        <f t="shared" si="48"/>
        <v>0</v>
      </c>
      <c r="O42" s="23">
        <f t="shared" si="48"/>
        <v>0</v>
      </c>
      <c r="P42" s="23">
        <f t="shared" si="48"/>
        <v>0</v>
      </c>
      <c r="Q42" s="23">
        <f t="shared" si="48"/>
        <v>0</v>
      </c>
      <c r="R42" s="23">
        <f t="shared" si="48"/>
        <v>0</v>
      </c>
      <c r="S42" s="23">
        <f t="shared" ref="S42" si="49">ROUND((S10-S27),2)</f>
        <v>-159680.64000000001</v>
      </c>
    </row>
    <row r="43" spans="2:19" x14ac:dyDescent="0.2">
      <c r="K43" s="23" t="s">
        <v>1179</v>
      </c>
      <c r="L43" s="23">
        <f t="shared" ref="L43:R43" si="50">ROUND((L11-L28),2)</f>
        <v>0</v>
      </c>
      <c r="M43" s="23">
        <f t="shared" si="50"/>
        <v>0</v>
      </c>
      <c r="N43" s="23">
        <f t="shared" si="50"/>
        <v>0</v>
      </c>
      <c r="O43" s="23">
        <f t="shared" si="50"/>
        <v>0</v>
      </c>
      <c r="P43" s="23">
        <f t="shared" si="50"/>
        <v>0</v>
      </c>
      <c r="Q43" s="23">
        <f t="shared" si="50"/>
        <v>0</v>
      </c>
      <c r="R43" s="23">
        <f t="shared" si="50"/>
        <v>0</v>
      </c>
      <c r="S43" s="23">
        <f t="shared" ref="S43" si="51">ROUND((S11-S28),2)</f>
        <v>-241383.03</v>
      </c>
    </row>
    <row r="44" spans="2:19" x14ac:dyDescent="0.2">
      <c r="K44" s="23" t="s">
        <v>1180</v>
      </c>
      <c r="L44" s="23">
        <f t="shared" ref="L44:R44" si="52">ROUND((L12-L29),2)</f>
        <v>0</v>
      </c>
      <c r="M44" s="23">
        <f t="shared" si="52"/>
        <v>0</v>
      </c>
      <c r="N44" s="23">
        <f t="shared" si="52"/>
        <v>0</v>
      </c>
      <c r="O44" s="23">
        <f t="shared" si="52"/>
        <v>0</v>
      </c>
      <c r="P44" s="23">
        <f t="shared" si="52"/>
        <v>0</v>
      </c>
      <c r="Q44" s="23">
        <f t="shared" si="52"/>
        <v>0</v>
      </c>
      <c r="R44" s="23">
        <f t="shared" si="52"/>
        <v>4439</v>
      </c>
      <c r="S44" s="23">
        <f t="shared" ref="S44" si="53">ROUND((S12-S29),2)</f>
        <v>-374284.51</v>
      </c>
    </row>
    <row r="45" spans="2:19" x14ac:dyDescent="0.2">
      <c r="K45" s="23" t="s">
        <v>1181</v>
      </c>
      <c r="L45" s="23">
        <f t="shared" ref="L45:R45" si="54">ROUND((L13-L30),2)</f>
        <v>0</v>
      </c>
      <c r="M45" s="23">
        <f t="shared" si="54"/>
        <v>0</v>
      </c>
      <c r="N45" s="23">
        <f t="shared" si="54"/>
        <v>0</v>
      </c>
      <c r="O45" s="23">
        <f t="shared" si="54"/>
        <v>0</v>
      </c>
      <c r="P45" s="23">
        <f t="shared" si="54"/>
        <v>0</v>
      </c>
      <c r="Q45" s="23">
        <f t="shared" si="54"/>
        <v>0</v>
      </c>
      <c r="R45" s="23">
        <f t="shared" si="54"/>
        <v>0</v>
      </c>
      <c r="S45" s="23">
        <f t="shared" ref="S45" si="55">ROUND((S13-S30),2)</f>
        <v>-525079.93999999994</v>
      </c>
    </row>
    <row r="47" spans="2:19" x14ac:dyDescent="0.2">
      <c r="L47" s="23">
        <f>SUM(L34:L46)</f>
        <v>-2189</v>
      </c>
      <c r="M47" s="23">
        <f t="shared" ref="M47:S47" si="56">SUM(M34:M46)</f>
        <v>0</v>
      </c>
      <c r="N47" s="23">
        <f t="shared" si="56"/>
        <v>0</v>
      </c>
      <c r="O47" s="23">
        <f t="shared" si="56"/>
        <v>0</v>
      </c>
      <c r="P47" s="23">
        <f t="shared" si="56"/>
        <v>0</v>
      </c>
      <c r="Q47" s="23">
        <f t="shared" si="56"/>
        <v>-682</v>
      </c>
      <c r="R47" s="23">
        <f t="shared" si="56"/>
        <v>3113</v>
      </c>
      <c r="S47" s="23">
        <f t="shared" si="56"/>
        <v>-3867110.22</v>
      </c>
    </row>
    <row r="49" spans="12:18" x14ac:dyDescent="0.2">
      <c r="L49">
        <v>10716</v>
      </c>
      <c r="N49">
        <v>10605</v>
      </c>
      <c r="R49">
        <v>21112</v>
      </c>
    </row>
    <row r="50" spans="12:18" x14ac:dyDescent="0.2">
      <c r="L50" t="s">
        <v>1184</v>
      </c>
      <c r="N50" t="s">
        <v>1186</v>
      </c>
      <c r="R50" t="s">
        <v>1187</v>
      </c>
    </row>
    <row r="51" spans="12:18" x14ac:dyDescent="0.2">
      <c r="L51" t="s">
        <v>1185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view="pageBreakPreview" zoomScale="60" zoomScaleNormal="100" workbookViewId="0">
      <selection activeCell="G541" sqref="G541"/>
    </sheetView>
  </sheetViews>
  <sheetFormatPr defaultRowHeight="15" x14ac:dyDescent="0.2"/>
  <cols>
    <col min="1" max="1" width="9.21875" style="84"/>
    <col min="2" max="2" width="95.109375" bestFit="1" customWidth="1"/>
    <col min="3" max="6" width="11.6640625" customWidth="1"/>
    <col min="7" max="7" width="3.6640625" customWidth="1"/>
    <col min="8" max="11" width="11.6640625" customWidth="1"/>
    <col min="14" max="14" width="9.109375" style="7" customWidth="1"/>
    <col min="15" max="15" width="9" style="7" customWidth="1"/>
    <col min="16" max="16" width="3.6640625" customWidth="1"/>
    <col min="17" max="17" width="9.109375" style="7" customWidth="1"/>
    <col min="18" max="18" width="9" style="7" customWidth="1"/>
  </cols>
  <sheetData>
    <row r="1" spans="1:18" ht="15.75" x14ac:dyDescent="0.25">
      <c r="C1" s="88" t="s">
        <v>1190</v>
      </c>
      <c r="D1" s="88" t="s">
        <v>1190</v>
      </c>
      <c r="E1" s="88" t="s">
        <v>1012</v>
      </c>
      <c r="F1" s="89" t="s">
        <v>4</v>
      </c>
      <c r="G1" s="87"/>
      <c r="H1" s="125" t="s">
        <v>1046</v>
      </c>
      <c r="I1" s="125" t="s">
        <v>1046</v>
      </c>
      <c r="J1" s="125" t="s">
        <v>1012</v>
      </c>
      <c r="K1" s="125" t="s">
        <v>4</v>
      </c>
      <c r="N1" s="135" t="s">
        <v>1036</v>
      </c>
      <c r="O1" s="135" t="s">
        <v>1037</v>
      </c>
      <c r="Q1" s="138" t="s">
        <v>1035</v>
      </c>
      <c r="R1" s="138" t="s">
        <v>1034</v>
      </c>
    </row>
    <row r="2" spans="1:18" ht="15.75" x14ac:dyDescent="0.25">
      <c r="B2" s="85"/>
      <c r="C2" s="88" t="s">
        <v>1194</v>
      </c>
      <c r="D2" s="88" t="s">
        <v>1196</v>
      </c>
      <c r="E2" s="89" t="s">
        <v>1195</v>
      </c>
      <c r="F2" s="89"/>
      <c r="G2" s="87"/>
      <c r="H2" s="125" t="s">
        <v>1194</v>
      </c>
      <c r="I2" s="125" t="s">
        <v>1193</v>
      </c>
      <c r="J2" s="125" t="s">
        <v>1195</v>
      </c>
      <c r="K2" s="126"/>
      <c r="N2" s="136"/>
      <c r="O2" s="136"/>
      <c r="Q2" s="139"/>
      <c r="R2" s="139"/>
    </row>
    <row r="3" spans="1:18" ht="15.75" x14ac:dyDescent="0.25">
      <c r="B3" s="85"/>
      <c r="C3" s="88"/>
      <c r="D3" s="88"/>
      <c r="E3" s="89"/>
      <c r="F3" s="89"/>
      <c r="G3" s="134"/>
      <c r="H3" s="125"/>
      <c r="I3" s="125"/>
      <c r="J3" s="125"/>
      <c r="K3" s="126"/>
      <c r="N3" s="136"/>
      <c r="O3" s="136"/>
      <c r="Q3" s="139"/>
      <c r="R3" s="139"/>
    </row>
    <row r="4" spans="1:18" x14ac:dyDescent="0.2">
      <c r="B4" s="84" t="s">
        <v>884</v>
      </c>
      <c r="N4" s="136"/>
      <c r="O4" s="136"/>
      <c r="Q4" s="139"/>
      <c r="R4" s="139"/>
    </row>
    <row r="5" spans="1:18" ht="15.75" x14ac:dyDescent="0.25">
      <c r="B5" s="85"/>
      <c r="N5" s="136"/>
      <c r="O5" s="136"/>
      <c r="Q5" s="139"/>
      <c r="R5" s="139"/>
    </row>
    <row r="6" spans="1:18" x14ac:dyDescent="0.2">
      <c r="A6" s="84" t="s">
        <v>379</v>
      </c>
      <c r="B6" s="291" t="s">
        <v>885</v>
      </c>
      <c r="C6" s="124">
        <f>ROUND((SUMIF('2022 detail'!$AE:$AE,$A6,'2022 detail'!G:G)),0)</f>
        <v>72867</v>
      </c>
      <c r="D6" s="124">
        <f>ROUND((SUMIF('2022 detail'!$AE:$AE,$A6,'2022 detail'!H:H)),0)</f>
        <v>44744</v>
      </c>
      <c r="E6" s="124">
        <f>ROUND((C6-D6),0)</f>
        <v>28123</v>
      </c>
      <c r="F6" s="24">
        <f>ROUND((D6/C6),4)</f>
        <v>0.61409999999999998</v>
      </c>
      <c r="H6" s="124">
        <f>ROUND((SUMIF('2021 Detail'!$AE:$AE,$A6,'2021 Detail'!G:G)),0)</f>
        <v>72866</v>
      </c>
      <c r="I6" s="124">
        <f>ROUND((SUMIF('2022 detail'!$AE:$AE,$A6,'2022 detail'!AH:AH)),0)</f>
        <v>34581</v>
      </c>
      <c r="J6" s="124">
        <f>ROUND((H6-I6),0)</f>
        <v>38285</v>
      </c>
      <c r="K6" s="24">
        <f>ROUND((I6/H6),4)</f>
        <v>0.47460000000000002</v>
      </c>
      <c r="N6" s="136"/>
      <c r="O6" s="136"/>
      <c r="Q6" s="139"/>
      <c r="R6" s="139"/>
    </row>
    <row r="7" spans="1:18" x14ac:dyDescent="0.2">
      <c r="A7" s="84" t="s">
        <v>380</v>
      </c>
      <c r="B7" s="291" t="s">
        <v>884</v>
      </c>
      <c r="C7" s="124">
        <f>ROUND((SUMIF('2022 detail'!$AE:$AE,$A7,'2022 detail'!G:G)),0)</f>
        <v>75291</v>
      </c>
      <c r="D7" s="124">
        <f>ROUND((SUMIF('2022 detail'!$AE:$AE,$A7,'2022 detail'!H:H)),0)</f>
        <v>75291</v>
      </c>
      <c r="E7" s="124">
        <f t="shared" ref="E7:E12" si="0">ROUND((C7-D7),0)</f>
        <v>0</v>
      </c>
      <c r="F7" s="24">
        <f t="shared" ref="F7:F12" si="1">ROUND((D7/C7),4)</f>
        <v>1</v>
      </c>
      <c r="H7" s="124">
        <f>ROUND((SUMIF('2021 Detail'!$AE:$AE,$A7,'2021 Detail'!G:G)),0)</f>
        <v>75291</v>
      </c>
      <c r="I7" s="124">
        <f>ROUND((SUMIF('2022 detail'!$AE:$AE,$A7,'2022 detail'!AH:AH)),0)</f>
        <v>75291</v>
      </c>
      <c r="J7" s="124">
        <f t="shared" ref="J7:J12" si="2">ROUND((H7-I7),0)</f>
        <v>0</v>
      </c>
      <c r="K7" s="24">
        <f t="shared" ref="K7:K12" si="3">ROUND((I7/H7),4)</f>
        <v>1</v>
      </c>
      <c r="N7" s="136"/>
      <c r="O7" s="136"/>
      <c r="Q7" s="139"/>
      <c r="R7" s="139"/>
    </row>
    <row r="8" spans="1:18" x14ac:dyDescent="0.2">
      <c r="A8" s="84" t="s">
        <v>381</v>
      </c>
      <c r="B8" s="291" t="s">
        <v>886</v>
      </c>
      <c r="C8" s="124">
        <f>ROUND((SUMIF('2022 detail'!$AE:$AE,$A8,'2022 detail'!G:G)),0)</f>
        <v>72753</v>
      </c>
      <c r="D8" s="124">
        <f>ROUND((SUMIF('2022 detail'!$AE:$AE,$A8,'2022 detail'!H:H)),0)</f>
        <v>56256</v>
      </c>
      <c r="E8" s="124">
        <f t="shared" si="0"/>
        <v>16497</v>
      </c>
      <c r="F8" s="24">
        <f t="shared" si="1"/>
        <v>0.7732</v>
      </c>
      <c r="H8" s="124">
        <f>ROUND((SUMIF('2021 Detail'!$AE:$AE,$A8,'2021 Detail'!G:G)),0)</f>
        <v>72753</v>
      </c>
      <c r="I8" s="124">
        <f>ROUND((SUMIF('2022 detail'!$AE:$AE,$A8,'2022 detail'!AH:AH)),0)</f>
        <v>56156</v>
      </c>
      <c r="J8" s="124">
        <f t="shared" si="2"/>
        <v>16597</v>
      </c>
      <c r="K8" s="24">
        <f t="shared" si="3"/>
        <v>0.77190000000000003</v>
      </c>
      <c r="N8" s="136"/>
      <c r="O8" s="136"/>
      <c r="Q8" s="139"/>
      <c r="R8" s="139"/>
    </row>
    <row r="9" spans="1:18" x14ac:dyDescent="0.2">
      <c r="A9" s="84" t="s">
        <v>382</v>
      </c>
      <c r="B9" s="291" t="s">
        <v>1197</v>
      </c>
      <c r="C9" s="124">
        <f>ROUND((SUMIF('2022 detail'!$AE:$AE,$A9,'2022 detail'!G:G)),0)</f>
        <v>27996</v>
      </c>
      <c r="D9" s="124">
        <f>ROUND((SUMIF('2022 detail'!$AE:$AE,$A9,'2022 detail'!H:H)),0)</f>
        <v>23249</v>
      </c>
      <c r="E9" s="124">
        <f t="shared" si="0"/>
        <v>4747</v>
      </c>
      <c r="F9" s="24">
        <f t="shared" si="1"/>
        <v>0.83040000000000003</v>
      </c>
      <c r="H9" s="124">
        <f>ROUND((SUMIF('2021 Detail'!$AE:$AE,$A9,'2021 Detail'!G:G)),0)</f>
        <v>27996</v>
      </c>
      <c r="I9" s="124">
        <f>ROUND((SUMIF('2022 detail'!$AE:$AE,$A9,'2022 detail'!AH:AH)),0)</f>
        <v>23649</v>
      </c>
      <c r="J9" s="124">
        <f t="shared" si="2"/>
        <v>4347</v>
      </c>
      <c r="K9" s="24">
        <f t="shared" si="3"/>
        <v>0.84470000000000001</v>
      </c>
      <c r="N9" s="136"/>
      <c r="O9" s="136"/>
      <c r="Q9" s="139"/>
      <c r="R9" s="139"/>
    </row>
    <row r="10" spans="1:18" x14ac:dyDescent="0.2">
      <c r="A10" s="84" t="s">
        <v>383</v>
      </c>
      <c r="B10" s="291" t="s">
        <v>1198</v>
      </c>
      <c r="C10" s="124">
        <f>ROUND((SUMIF('2022 detail'!$AE:$AE,$A10,'2022 detail'!G:G)),0)</f>
        <v>93360</v>
      </c>
      <c r="D10" s="124">
        <f>ROUND((SUMIF('2022 detail'!$AE:$AE,$A10,'2022 detail'!H:H)),0)</f>
        <v>80842</v>
      </c>
      <c r="E10" s="124">
        <f t="shared" si="0"/>
        <v>12518</v>
      </c>
      <c r="F10" s="24">
        <f t="shared" si="1"/>
        <v>0.8659</v>
      </c>
      <c r="H10" s="124">
        <f>ROUND((SUMIF('2021 Detail'!$AE:$AE,$A10,'2021 Detail'!G:G)),0)</f>
        <v>93360</v>
      </c>
      <c r="I10" s="124">
        <f>ROUND((SUMIF('2022 detail'!$AE:$AE,$A10,'2022 detail'!AH:AH)),0)</f>
        <v>70431</v>
      </c>
      <c r="J10" s="124">
        <f t="shared" si="2"/>
        <v>22929</v>
      </c>
      <c r="K10" s="24">
        <f t="shared" si="3"/>
        <v>0.75439999999999996</v>
      </c>
      <c r="N10" s="136"/>
      <c r="O10" s="136"/>
      <c r="Q10" s="139"/>
      <c r="R10" s="139"/>
    </row>
    <row r="11" spans="1:18" x14ac:dyDescent="0.2">
      <c r="A11" s="84" t="s">
        <v>384</v>
      </c>
      <c r="B11" s="291" t="s">
        <v>887</v>
      </c>
      <c r="C11" s="124">
        <f>ROUND((SUMIF('2022 detail'!$AE:$AE,$A11,'2022 detail'!G:G)),0)</f>
        <v>69495</v>
      </c>
      <c r="D11" s="124">
        <f>ROUND((SUMIF('2022 detail'!$AE:$AE,$A11,'2022 detail'!H:H)),0)</f>
        <v>62714</v>
      </c>
      <c r="E11" s="124">
        <f t="shared" si="0"/>
        <v>6781</v>
      </c>
      <c r="F11" s="24">
        <f t="shared" si="1"/>
        <v>0.90239999999999998</v>
      </c>
      <c r="H11" s="124">
        <f>ROUND((SUMIF('2021 Detail'!$AE:$AE,$A11,'2021 Detail'!G:G)),0)</f>
        <v>69495</v>
      </c>
      <c r="I11" s="124">
        <f>ROUND((SUMIF('2022 detail'!$AE:$AE,$A11,'2022 detail'!AH:AH)),0)</f>
        <v>59267</v>
      </c>
      <c r="J11" s="124">
        <f t="shared" si="2"/>
        <v>10228</v>
      </c>
      <c r="K11" s="24">
        <f t="shared" si="3"/>
        <v>0.8528</v>
      </c>
      <c r="N11" s="136"/>
      <c r="O11" s="136"/>
      <c r="Q11" s="139"/>
      <c r="R11" s="139"/>
    </row>
    <row r="12" spans="1:18" x14ac:dyDescent="0.2">
      <c r="A12" s="84" t="s">
        <v>385</v>
      </c>
      <c r="B12" s="291" t="s">
        <v>888</v>
      </c>
      <c r="C12" s="124">
        <f>ROUND((SUMIF('2022 detail'!$AE:$AE,$A12,'2022 detail'!G:G)),0)</f>
        <v>70118</v>
      </c>
      <c r="D12" s="124">
        <f>ROUND((SUMIF('2022 detail'!$AE:$AE,$A12,'2022 detail'!H:H)),0)</f>
        <v>51033</v>
      </c>
      <c r="E12" s="124">
        <f t="shared" si="0"/>
        <v>19085</v>
      </c>
      <c r="F12" s="24">
        <f t="shared" si="1"/>
        <v>0.7278</v>
      </c>
      <c r="H12" s="124">
        <f>ROUND((SUMIF('2021 Detail'!$AE:$AE,$A12,'2021 Detail'!G:G)),0)</f>
        <v>70118</v>
      </c>
      <c r="I12" s="124">
        <f>ROUND((SUMIF('2022 detail'!$AE:$AE,$A12,'2022 detail'!AH:AH)),0)</f>
        <v>40067</v>
      </c>
      <c r="J12" s="124">
        <f t="shared" si="2"/>
        <v>30051</v>
      </c>
      <c r="K12" s="24">
        <f t="shared" si="3"/>
        <v>0.57140000000000002</v>
      </c>
      <c r="N12" s="136"/>
      <c r="O12" s="136"/>
      <c r="Q12" s="139"/>
      <c r="R12" s="139"/>
    </row>
    <row r="13" spans="1:18" ht="15.75" x14ac:dyDescent="0.25">
      <c r="B13" s="85"/>
      <c r="C13" s="130">
        <f>SUM(C6:C12)</f>
        <v>481880</v>
      </c>
      <c r="D13" s="130">
        <f t="shared" ref="D13:E13" si="4">SUM(D6:D12)</f>
        <v>394129</v>
      </c>
      <c r="E13" s="130">
        <f t="shared" si="4"/>
        <v>87751</v>
      </c>
      <c r="F13" s="131">
        <f>ROUND((D13/C13),4)</f>
        <v>0.81789999999999996</v>
      </c>
      <c r="G13" s="132"/>
      <c r="H13" s="130">
        <f>SUM(H6:H12)</f>
        <v>481879</v>
      </c>
      <c r="I13" s="130">
        <f t="shared" ref="I13" si="5">SUM(I6:I12)</f>
        <v>359442</v>
      </c>
      <c r="J13" s="130">
        <f t="shared" ref="J13" si="6">SUM(J6:J12)</f>
        <v>122437</v>
      </c>
      <c r="K13" s="131">
        <f>ROUND((I13/H13),4)</f>
        <v>0.74590000000000001</v>
      </c>
      <c r="N13" s="136">
        <f>COUNTIFS(F6:F12,"=1")</f>
        <v>1</v>
      </c>
      <c r="O13" s="136">
        <f>COUNTIFS(K6:K12,"=1")</f>
        <v>1</v>
      </c>
      <c r="Q13" s="139">
        <f>COUNTIFS(F6:F12,"&gt;1")</f>
        <v>0</v>
      </c>
      <c r="R13" s="139">
        <f>COUNTIFS(K6:K12,"&gt;1")</f>
        <v>0</v>
      </c>
    </row>
    <row r="14" spans="1:18" ht="15.75" x14ac:dyDescent="0.25">
      <c r="B14" s="85"/>
      <c r="N14" s="136"/>
      <c r="O14" s="136"/>
      <c r="Q14" s="139"/>
      <c r="R14" s="139"/>
    </row>
    <row r="15" spans="1:18" x14ac:dyDescent="0.2">
      <c r="B15" s="84" t="s">
        <v>889</v>
      </c>
      <c r="N15" s="136"/>
      <c r="O15" s="136"/>
      <c r="Q15" s="139"/>
      <c r="R15" s="139"/>
    </row>
    <row r="16" spans="1:18" ht="15.75" x14ac:dyDescent="0.25">
      <c r="B16" s="85"/>
      <c r="N16" s="136"/>
      <c r="O16" s="136"/>
      <c r="Q16" s="139"/>
      <c r="R16" s="139"/>
    </row>
    <row r="17" spans="1:18" x14ac:dyDescent="0.2">
      <c r="A17" s="84" t="s">
        <v>386</v>
      </c>
      <c r="B17" s="84" t="s">
        <v>890</v>
      </c>
      <c r="C17" s="124">
        <f>ROUND((SUMIF('2022 detail'!$AE:$AE,$A17,'2022 detail'!G:G)),0)</f>
        <v>66768</v>
      </c>
      <c r="D17" s="124">
        <f>ROUND((SUMIF('2022 detail'!$AE:$AE,$A17,'2022 detail'!H:H)),0)</f>
        <v>59107</v>
      </c>
      <c r="E17" s="124">
        <f>ROUND((C17-D17),0)</f>
        <v>7661</v>
      </c>
      <c r="F17" s="24">
        <f>ROUND((D17/C17),4)</f>
        <v>0.88529999999999998</v>
      </c>
      <c r="H17" s="124">
        <f>ROUND((SUMIF('2021 Detail'!$AE:$AE,$A17,'2021 Detail'!G:G)),0)</f>
        <v>66768</v>
      </c>
      <c r="I17" s="124">
        <f>ROUND((SUMIF('2022 detail'!$AE:$AE,$A17,'2022 detail'!AH:AH)),0)</f>
        <v>47990</v>
      </c>
      <c r="J17" s="124">
        <f>ROUND((H17-I17),0)</f>
        <v>18778</v>
      </c>
      <c r="K17" s="24">
        <f>ROUND((I17/H17),4)</f>
        <v>0.71879999999999999</v>
      </c>
      <c r="N17" s="136"/>
      <c r="O17" s="136"/>
      <c r="Q17" s="139"/>
      <c r="R17" s="139"/>
    </row>
    <row r="18" spans="1:18" x14ac:dyDescent="0.2">
      <c r="A18" s="84" t="s">
        <v>387</v>
      </c>
      <c r="B18" s="84" t="s">
        <v>891</v>
      </c>
      <c r="C18" s="124">
        <f>ROUND((SUMIF('2022 detail'!$AE:$AE,$A18,'2022 detail'!G:G)),0)</f>
        <v>67111</v>
      </c>
      <c r="D18" s="124">
        <f>ROUND((SUMIF('2022 detail'!$AE:$AE,$A18,'2022 detail'!H:H)),0)</f>
        <v>67111</v>
      </c>
      <c r="E18" s="124">
        <f t="shared" ref="E18:E24" si="7">ROUND((C18-D18),0)</f>
        <v>0</v>
      </c>
      <c r="F18" s="24">
        <f t="shared" ref="F18:F24" si="8">ROUND((D18/C18),4)</f>
        <v>1</v>
      </c>
      <c r="H18" s="124">
        <f>ROUND((SUMIF('2021 Detail'!$AE:$AE,$A18,'2021 Detail'!G:G)),0)</f>
        <v>67111</v>
      </c>
      <c r="I18" s="124">
        <f>ROUND((SUMIF('2022 detail'!$AE:$AE,$A18,'2022 detail'!AH:AH)),0)</f>
        <v>55450</v>
      </c>
      <c r="J18" s="124">
        <f t="shared" ref="J18:J24" si="9">ROUND((H18-I18),0)</f>
        <v>11661</v>
      </c>
      <c r="K18" s="24">
        <f t="shared" ref="K18:K24" si="10">ROUND((I18/H18),4)</f>
        <v>0.82620000000000005</v>
      </c>
      <c r="N18" s="136"/>
      <c r="O18" s="136"/>
      <c r="Q18" s="139"/>
      <c r="R18" s="139"/>
    </row>
    <row r="19" spans="1:18" x14ac:dyDescent="0.2">
      <c r="A19" s="84" t="s">
        <v>388</v>
      </c>
      <c r="B19" s="84" t="s">
        <v>892</v>
      </c>
      <c r="C19" s="124">
        <f>ROUND((SUMIF('2022 detail'!$AE:$AE,$A19,'2022 detail'!G:G)),0)</f>
        <v>61316</v>
      </c>
      <c r="D19" s="124">
        <f>ROUND((SUMIF('2022 detail'!$AE:$AE,$A19,'2022 detail'!H:H)),0)</f>
        <v>30833</v>
      </c>
      <c r="E19" s="124">
        <f t="shared" si="7"/>
        <v>30483</v>
      </c>
      <c r="F19" s="24">
        <f t="shared" si="8"/>
        <v>0.50290000000000001</v>
      </c>
      <c r="H19" s="124">
        <f>ROUND((SUMIF('2021 Detail'!$AE:$AE,$A19,'2021 Detail'!G:G)),0)</f>
        <v>61316</v>
      </c>
      <c r="I19" s="124">
        <f>ROUND((SUMIF('2022 detail'!$AE:$AE,$A19,'2022 detail'!AH:AH)),0)</f>
        <v>30833</v>
      </c>
      <c r="J19" s="124">
        <f t="shared" si="9"/>
        <v>30483</v>
      </c>
      <c r="K19" s="24">
        <f t="shared" si="10"/>
        <v>0.50290000000000001</v>
      </c>
      <c r="N19" s="136"/>
      <c r="O19" s="136"/>
      <c r="Q19" s="139"/>
      <c r="R19" s="139"/>
    </row>
    <row r="20" spans="1:18" x14ac:dyDescent="0.2">
      <c r="A20" s="84" t="s">
        <v>389</v>
      </c>
      <c r="B20" s="84" t="s">
        <v>893</v>
      </c>
      <c r="C20" s="124">
        <f>ROUND((SUMIF('2022 detail'!$AE:$AE,$A20,'2022 detail'!G:G)),0)</f>
        <v>26983</v>
      </c>
      <c r="D20" s="124">
        <f>ROUND((SUMIF('2022 detail'!$AE:$AE,$A20,'2022 detail'!H:H)),0)</f>
        <v>26983</v>
      </c>
      <c r="E20" s="124">
        <f t="shared" si="7"/>
        <v>0</v>
      </c>
      <c r="F20" s="24">
        <f t="shared" si="8"/>
        <v>1</v>
      </c>
      <c r="H20" s="124">
        <f>ROUND((SUMIF('2021 Detail'!$AE:$AE,$A20,'2021 Detail'!G:G)),0)</f>
        <v>26982</v>
      </c>
      <c r="I20" s="124">
        <f>ROUND((SUMIF('2022 detail'!$AE:$AE,$A20,'2022 detail'!AH:AH)),0)</f>
        <v>26983</v>
      </c>
      <c r="J20" s="124">
        <f t="shared" si="9"/>
        <v>-1</v>
      </c>
      <c r="K20" s="24">
        <f t="shared" si="10"/>
        <v>1</v>
      </c>
      <c r="N20" s="136"/>
      <c r="O20" s="136"/>
      <c r="Q20" s="139"/>
      <c r="R20" s="139"/>
    </row>
    <row r="21" spans="1:18" x14ac:dyDescent="0.2">
      <c r="A21" s="84" t="s">
        <v>390</v>
      </c>
      <c r="B21" s="84" t="s">
        <v>894</v>
      </c>
      <c r="C21" s="124">
        <f>ROUND((SUMIF('2022 detail'!$AE:$AE,$A21,'2022 detail'!G:G)),0)</f>
        <v>66013</v>
      </c>
      <c r="D21" s="124">
        <f>ROUND((SUMIF('2022 detail'!$AE:$AE,$A21,'2022 detail'!H:H)),0)</f>
        <v>23608</v>
      </c>
      <c r="E21" s="124">
        <f t="shared" si="7"/>
        <v>42405</v>
      </c>
      <c r="F21" s="24">
        <f t="shared" si="8"/>
        <v>0.35759999999999997</v>
      </c>
      <c r="H21" s="124">
        <f>ROUND((SUMIF('2021 Detail'!$AE:$AE,$A21,'2021 Detail'!G:G)),0)</f>
        <v>66013</v>
      </c>
      <c r="I21" s="124">
        <f>ROUND((SUMIF('2022 detail'!$AE:$AE,$A21,'2022 detail'!AH:AH)),0)</f>
        <v>34112</v>
      </c>
      <c r="J21" s="124">
        <f t="shared" si="9"/>
        <v>31901</v>
      </c>
      <c r="K21" s="24">
        <f t="shared" si="10"/>
        <v>0.51670000000000005</v>
      </c>
      <c r="N21" s="136"/>
      <c r="O21" s="136"/>
      <c r="Q21" s="139"/>
      <c r="R21" s="139"/>
    </row>
    <row r="22" spans="1:18" x14ac:dyDescent="0.2">
      <c r="A22" s="84" t="s">
        <v>391</v>
      </c>
      <c r="B22" s="84" t="s">
        <v>1129</v>
      </c>
      <c r="C22" s="124">
        <f>ROUND((SUMIF('2022 detail'!$AE:$AE,$A22,'2022 detail'!G:G)),0)</f>
        <v>69794</v>
      </c>
      <c r="D22" s="124">
        <f>ROUND((SUMIF('2022 detail'!$AE:$AE,$A22,'2022 detail'!H:H)),0)</f>
        <v>50160</v>
      </c>
      <c r="E22" s="124">
        <f t="shared" si="7"/>
        <v>19634</v>
      </c>
      <c r="F22" s="24">
        <f t="shared" si="8"/>
        <v>0.71870000000000001</v>
      </c>
      <c r="H22" s="124">
        <f>ROUND((SUMIF('2021 Detail'!$AE:$AE,$A22,'2021 Detail'!G:G)),0)</f>
        <v>69794</v>
      </c>
      <c r="I22" s="124">
        <f>ROUND((SUMIF('2022 detail'!$AE:$AE,$A22,'2022 detail'!AH:AH)),0)</f>
        <v>47695</v>
      </c>
      <c r="J22" s="124">
        <f t="shared" si="9"/>
        <v>22099</v>
      </c>
      <c r="K22" s="24">
        <f t="shared" si="10"/>
        <v>0.68340000000000001</v>
      </c>
      <c r="N22" s="136"/>
      <c r="O22" s="136"/>
      <c r="Q22" s="139"/>
      <c r="R22" s="139"/>
    </row>
    <row r="23" spans="1:18" x14ac:dyDescent="0.2">
      <c r="A23" s="84" t="s">
        <v>392</v>
      </c>
      <c r="B23" s="84" t="s">
        <v>895</v>
      </c>
      <c r="C23" s="124">
        <f>ROUND((SUMIF('2022 detail'!$AE:$AE,$A23,'2022 detail'!G:G)),0)</f>
        <v>68272</v>
      </c>
      <c r="D23" s="124">
        <f>ROUND((SUMIF('2022 detail'!$AE:$AE,$A23,'2022 detail'!H:H)),0)</f>
        <v>61569</v>
      </c>
      <c r="E23" s="124">
        <f t="shared" si="7"/>
        <v>6703</v>
      </c>
      <c r="F23" s="24">
        <f t="shared" si="8"/>
        <v>0.90180000000000005</v>
      </c>
      <c r="H23" s="124">
        <f>ROUND((SUMIF('2021 Detail'!$AE:$AE,$A23,'2021 Detail'!G:G)),0)</f>
        <v>68272</v>
      </c>
      <c r="I23" s="124">
        <f>ROUND((SUMIF('2022 detail'!$AE:$AE,$A23,'2022 detail'!AH:AH)),0)</f>
        <v>54070</v>
      </c>
      <c r="J23" s="124">
        <f t="shared" si="9"/>
        <v>14202</v>
      </c>
      <c r="K23" s="24">
        <f t="shared" si="10"/>
        <v>0.79200000000000004</v>
      </c>
      <c r="N23" s="136"/>
      <c r="O23" s="136"/>
      <c r="Q23" s="139"/>
      <c r="R23" s="139"/>
    </row>
    <row r="24" spans="1:18" x14ac:dyDescent="0.2">
      <c r="A24" s="84" t="s">
        <v>393</v>
      </c>
      <c r="B24" s="84" t="s">
        <v>896</v>
      </c>
      <c r="C24" s="124">
        <f>ROUND((SUMIF('2022 detail'!$AE:$AE,$A24,'2022 detail'!G:G)),0)</f>
        <v>97836</v>
      </c>
      <c r="D24" s="124">
        <f>ROUND((SUMIF('2022 detail'!$AE:$AE,$A24,'2022 detail'!H:H)),0)</f>
        <v>95714</v>
      </c>
      <c r="E24" s="124">
        <f t="shared" si="7"/>
        <v>2122</v>
      </c>
      <c r="F24" s="24">
        <f t="shared" si="8"/>
        <v>0.97829999999999995</v>
      </c>
      <c r="H24" s="124">
        <f>ROUND((SUMIF('2021 Detail'!$AE:$AE,$A24,'2021 Detail'!G:G)),0)</f>
        <v>97836</v>
      </c>
      <c r="I24" s="124">
        <f>ROUND((SUMIF('2022 detail'!$AE:$AE,$A24,'2022 detail'!AH:AH)),0)</f>
        <v>97861</v>
      </c>
      <c r="J24" s="124">
        <f t="shared" si="9"/>
        <v>-25</v>
      </c>
      <c r="K24" s="24">
        <f t="shared" si="10"/>
        <v>1.0003</v>
      </c>
      <c r="N24" s="136"/>
      <c r="O24" s="136"/>
      <c r="Q24" s="139"/>
      <c r="R24" s="139"/>
    </row>
    <row r="25" spans="1:18" x14ac:dyDescent="0.2">
      <c r="B25" s="84"/>
      <c r="C25" s="124"/>
      <c r="D25" s="124"/>
      <c r="E25" s="124"/>
      <c r="F25" s="24"/>
      <c r="H25" s="124"/>
      <c r="I25" s="124"/>
      <c r="J25" s="124"/>
      <c r="K25" s="24"/>
      <c r="N25" s="136"/>
      <c r="O25" s="136"/>
      <c r="Q25" s="139"/>
      <c r="R25" s="139"/>
    </row>
    <row r="26" spans="1:18" ht="15.75" x14ac:dyDescent="0.25">
      <c r="B26" s="85"/>
      <c r="C26" s="130">
        <f>SUM(C17:C24)</f>
        <v>524093</v>
      </c>
      <c r="D26" s="130">
        <f t="shared" ref="D26:E26" si="11">SUM(D17:D24)</f>
        <v>415085</v>
      </c>
      <c r="E26" s="130">
        <f t="shared" si="11"/>
        <v>109008</v>
      </c>
      <c r="F26" s="131">
        <f>ROUND((D26/C26),4)</f>
        <v>0.79200000000000004</v>
      </c>
      <c r="G26" s="132"/>
      <c r="H26" s="130">
        <f>SUM(H17:H24)</f>
        <v>524092</v>
      </c>
      <c r="I26" s="130">
        <f>SUM(I17:I25)</f>
        <v>394994</v>
      </c>
      <c r="J26" s="130">
        <f>SUM(J17:J25)</f>
        <v>129098</v>
      </c>
      <c r="K26" s="131">
        <f>ROUND((I26/H26),4)</f>
        <v>0.75370000000000004</v>
      </c>
      <c r="N26" s="136">
        <f>COUNTIFS(F17:F24,"=1")</f>
        <v>2</v>
      </c>
      <c r="O26" s="136">
        <f>COUNTIFS(K17:K24,"=1")</f>
        <v>1</v>
      </c>
      <c r="Q26" s="139">
        <f>COUNTIFS(F17:F24,"&gt;1")</f>
        <v>0</v>
      </c>
      <c r="R26" s="139">
        <f>COUNTIFS(K17:K24,"&gt;1")</f>
        <v>1</v>
      </c>
    </row>
    <row r="27" spans="1:18" ht="15.75" x14ac:dyDescent="0.25">
      <c r="B27" s="85"/>
      <c r="N27" s="136"/>
      <c r="O27" s="136"/>
      <c r="Q27" s="139"/>
      <c r="R27" s="139"/>
    </row>
    <row r="28" spans="1:18" x14ac:dyDescent="0.2">
      <c r="B28" s="84" t="s">
        <v>897</v>
      </c>
      <c r="N28" s="136"/>
      <c r="O28" s="136"/>
      <c r="Q28" s="139"/>
      <c r="R28" s="139"/>
    </row>
    <row r="29" spans="1:18" ht="15.75" x14ac:dyDescent="0.25">
      <c r="B29" s="85"/>
      <c r="N29" s="136"/>
      <c r="O29" s="136"/>
      <c r="Q29" s="139"/>
      <c r="R29" s="139"/>
    </row>
    <row r="30" spans="1:18" x14ac:dyDescent="0.2">
      <c r="A30" s="84" t="s">
        <v>394</v>
      </c>
      <c r="B30" s="291" t="s">
        <v>898</v>
      </c>
      <c r="C30" s="124">
        <f>ROUND((SUMIF('2022 detail'!$AE:$AE,$A30,'2022 detail'!G:G)),0)</f>
        <v>66316</v>
      </c>
      <c r="D30" s="124">
        <f>ROUND((SUMIF('2022 detail'!$AE:$AE,$A30,'2022 detail'!H:H)),0)</f>
        <v>66316</v>
      </c>
      <c r="E30" s="124">
        <f>ROUND((C30-D30),0)</f>
        <v>0</v>
      </c>
      <c r="F30" s="24">
        <f>ROUND((D30/C30),4)</f>
        <v>1</v>
      </c>
      <c r="H30" s="124">
        <f>ROUND((SUMIF('2021 Detail'!$AE:$AE,$A30,'2021 Detail'!G:G)),0)</f>
        <v>66316</v>
      </c>
      <c r="I30" s="124">
        <f>ROUND((SUMIF('2022 detail'!$AE:$AE,$A30,'2022 detail'!AH:AH)),0)</f>
        <v>61837</v>
      </c>
      <c r="J30" s="124">
        <f>ROUND((H30-I30),0)</f>
        <v>4479</v>
      </c>
      <c r="K30" s="24">
        <f>ROUND((I30/H30),4)</f>
        <v>0.9325</v>
      </c>
      <c r="N30" s="136"/>
      <c r="O30" s="136"/>
      <c r="Q30" s="139"/>
      <c r="R30" s="139"/>
    </row>
    <row r="31" spans="1:18" x14ac:dyDescent="0.2">
      <c r="A31" s="84" t="s">
        <v>1199</v>
      </c>
      <c r="B31" s="291" t="s">
        <v>1202</v>
      </c>
      <c r="C31" s="124">
        <f>ROUND((SUMIF('2022 detail'!$AE:$AE,$A31,'2022 detail'!G:G)),0)</f>
        <v>73319</v>
      </c>
      <c r="D31" s="124">
        <f>ROUND((SUMIF('2022 detail'!$AE:$AE,$A31,'2022 detail'!H:H)),0)</f>
        <v>71246</v>
      </c>
      <c r="E31" s="124">
        <f t="shared" ref="E31:E37" si="12">ROUND((C31-D31),0)</f>
        <v>2073</v>
      </c>
      <c r="F31" s="24">
        <f t="shared" ref="F31:F37" si="13">ROUND((D31/C31),4)</f>
        <v>0.97170000000000001</v>
      </c>
      <c r="H31" s="124">
        <f>ROUND((SUMIF('2021 Detail'!$AE:$AE,$A31,'2021 Detail'!G:G)),0)</f>
        <v>73318</v>
      </c>
      <c r="I31" s="124">
        <f>ROUND((SUMIF('2022 detail'!$AE:$AE,$A31,'2022 detail'!AH:AH)),0)</f>
        <v>66247</v>
      </c>
      <c r="J31" s="124">
        <f t="shared" ref="J31:J37" si="14">ROUND((H31-I31),0)</f>
        <v>7071</v>
      </c>
      <c r="K31" s="24">
        <f t="shared" ref="K31:K37" si="15">ROUND((I31/H31),4)</f>
        <v>0.90359999999999996</v>
      </c>
      <c r="N31" s="136"/>
      <c r="O31" s="136"/>
      <c r="Q31" s="139"/>
      <c r="R31" s="139"/>
    </row>
    <row r="32" spans="1:18" x14ac:dyDescent="0.2">
      <c r="A32" s="84" t="s">
        <v>1200</v>
      </c>
      <c r="B32" s="291" t="s">
        <v>1203</v>
      </c>
      <c r="C32" s="124">
        <f>ROUND((SUMIF('2022 detail'!$AE:$AE,$A32,'2022 detail'!G:G)),0)</f>
        <v>54453</v>
      </c>
      <c r="D32" s="124">
        <f>ROUND((SUMIF('2022 detail'!$AE:$AE,$A32,'2022 detail'!H:H)),0)</f>
        <v>12690</v>
      </c>
      <c r="E32" s="124">
        <f t="shared" si="12"/>
        <v>41763</v>
      </c>
      <c r="F32" s="24">
        <f t="shared" si="13"/>
        <v>0.23300000000000001</v>
      </c>
      <c r="H32" s="124">
        <f>ROUND((SUMIF('2021 Detail'!$AE:$AE,$A32,'2021 Detail'!G:G)),0)</f>
        <v>54453</v>
      </c>
      <c r="I32" s="124">
        <f>ROUND((SUMIF('2022 detail'!$AE:$AE,$A32,'2022 detail'!AH:AH)),0)</f>
        <v>13379</v>
      </c>
      <c r="J32" s="124">
        <f t="shared" si="14"/>
        <v>41074</v>
      </c>
      <c r="K32" s="24">
        <f t="shared" si="15"/>
        <v>0.2457</v>
      </c>
      <c r="N32" s="136"/>
      <c r="O32" s="136"/>
      <c r="Q32" s="139"/>
      <c r="R32" s="139"/>
    </row>
    <row r="33" spans="1:18" x14ac:dyDescent="0.2">
      <c r="A33" s="84" t="s">
        <v>395</v>
      </c>
      <c r="B33" s="291" t="s">
        <v>899</v>
      </c>
      <c r="C33" s="124">
        <f>ROUND((SUMIF('2022 detail'!$AE:$AE,$A33,'2022 detail'!G:G)),0)</f>
        <v>73893</v>
      </c>
      <c r="D33" s="124">
        <f>ROUND((SUMIF('2022 detail'!$AE:$AE,$A33,'2022 detail'!H:H)),0)</f>
        <v>57881</v>
      </c>
      <c r="E33" s="124">
        <f t="shared" si="12"/>
        <v>16012</v>
      </c>
      <c r="F33" s="24">
        <f t="shared" si="13"/>
        <v>0.7833</v>
      </c>
      <c r="H33" s="124">
        <f>ROUND((SUMIF('2021 Detail'!$AE:$AE,$A33,'2021 Detail'!G:G)),0)</f>
        <v>73893</v>
      </c>
      <c r="I33" s="124">
        <f>ROUND((SUMIF('2022 detail'!$AE:$AE,$A33,'2022 detail'!AH:AH)),0)</f>
        <v>48690</v>
      </c>
      <c r="J33" s="124">
        <f t="shared" si="14"/>
        <v>25203</v>
      </c>
      <c r="K33" s="24">
        <f t="shared" si="15"/>
        <v>0.65890000000000004</v>
      </c>
      <c r="N33" s="136"/>
      <c r="O33" s="136"/>
      <c r="Q33" s="139"/>
      <c r="R33" s="139"/>
    </row>
    <row r="34" spans="1:18" x14ac:dyDescent="0.2">
      <c r="A34" s="84" t="s">
        <v>396</v>
      </c>
      <c r="B34" s="291" t="s">
        <v>1204</v>
      </c>
      <c r="C34" s="124">
        <f>ROUND((SUMIF('2022 detail'!$AE:$AE,$A34,'2022 detail'!G:G)),0)</f>
        <v>51934</v>
      </c>
      <c r="D34" s="124">
        <f>ROUND((SUMIF('2022 detail'!$AE:$AE,$A34,'2022 detail'!H:H)),0)</f>
        <v>51934</v>
      </c>
      <c r="E34" s="124">
        <f t="shared" si="12"/>
        <v>0</v>
      </c>
      <c r="F34" s="24">
        <f t="shared" si="13"/>
        <v>1</v>
      </c>
      <c r="H34" s="124">
        <f>ROUND((SUMIF('2021 Detail'!$AE:$AE,$A34,'2021 Detail'!G:G)),0)</f>
        <v>51935</v>
      </c>
      <c r="I34" s="124">
        <f>ROUND((SUMIF('2022 detail'!$AE:$AE,$A34,'2022 detail'!AH:AH)),0)</f>
        <v>51935</v>
      </c>
      <c r="J34" s="124">
        <f t="shared" si="14"/>
        <v>0</v>
      </c>
      <c r="K34" s="24">
        <f t="shared" si="15"/>
        <v>1</v>
      </c>
      <c r="N34" s="136"/>
      <c r="O34" s="136"/>
      <c r="Q34" s="139"/>
      <c r="R34" s="139"/>
    </row>
    <row r="35" spans="1:18" x14ac:dyDescent="0.2">
      <c r="A35" s="84" t="s">
        <v>397</v>
      </c>
      <c r="B35" s="291" t="s">
        <v>900</v>
      </c>
      <c r="C35" s="124">
        <f>ROUND((SUMIF('2022 detail'!$AE:$AE,$A35,'2022 detail'!G:G)),0)</f>
        <v>61590</v>
      </c>
      <c r="D35" s="124">
        <f>ROUND((SUMIF('2022 detail'!$AE:$AE,$A35,'2022 detail'!H:H)),0)</f>
        <v>60743</v>
      </c>
      <c r="E35" s="124">
        <f t="shared" si="12"/>
        <v>847</v>
      </c>
      <c r="F35" s="24">
        <f t="shared" si="13"/>
        <v>0.98619999999999997</v>
      </c>
      <c r="H35" s="124">
        <f>ROUND((SUMIF('2021 Detail'!$AE:$AE,$A35,'2021 Detail'!G:G)),0)</f>
        <v>61589</v>
      </c>
      <c r="I35" s="124">
        <f>ROUND((SUMIF('2022 detail'!$AE:$AE,$A35,'2022 detail'!AH:AH)),0)</f>
        <v>53463</v>
      </c>
      <c r="J35" s="124">
        <f t="shared" si="14"/>
        <v>8126</v>
      </c>
      <c r="K35" s="24">
        <f t="shared" si="15"/>
        <v>0.86809999999999998</v>
      </c>
      <c r="N35" s="136"/>
      <c r="O35" s="136"/>
      <c r="Q35" s="139"/>
      <c r="R35" s="139"/>
    </row>
    <row r="36" spans="1:18" x14ac:dyDescent="0.2">
      <c r="A36" s="84" t="s">
        <v>1201</v>
      </c>
      <c r="B36" s="291" t="s">
        <v>1205</v>
      </c>
      <c r="C36" s="124">
        <f>ROUND((SUMIF('2022 detail'!$AE:$AE,$A36,'2022 detail'!G:G)),0)</f>
        <v>23239</v>
      </c>
      <c r="D36" s="124">
        <f>ROUND((SUMIF('2022 detail'!$AE:$AE,$A36,'2022 detail'!H:H)),0)</f>
        <v>7054</v>
      </c>
      <c r="E36" s="124">
        <f t="shared" si="12"/>
        <v>16185</v>
      </c>
      <c r="F36" s="24">
        <f t="shared" si="13"/>
        <v>0.30349999999999999</v>
      </c>
      <c r="H36" s="124">
        <f>ROUND((SUMIF('2021 Detail'!$AE:$AE,$A36,'2021 Detail'!G:G)),0)</f>
        <v>23238</v>
      </c>
      <c r="I36" s="124">
        <f>ROUND((SUMIF('2022 detail'!$AE:$AE,$A36,'2022 detail'!AH:AH)),0)</f>
        <v>7920</v>
      </c>
      <c r="J36" s="124">
        <f t="shared" si="14"/>
        <v>15318</v>
      </c>
      <c r="K36" s="24">
        <f t="shared" si="15"/>
        <v>0.34079999999999999</v>
      </c>
      <c r="N36" s="136"/>
      <c r="O36" s="136"/>
      <c r="Q36" s="139"/>
      <c r="R36" s="139"/>
    </row>
    <row r="37" spans="1:18" x14ac:dyDescent="0.2">
      <c r="A37" s="84" t="s">
        <v>398</v>
      </c>
      <c r="B37" s="291" t="s">
        <v>901</v>
      </c>
      <c r="C37" s="124">
        <f>ROUND((SUMIF('2022 detail'!$AE:$AE,$A37,'2022 detail'!G:G)),0)</f>
        <v>27332</v>
      </c>
      <c r="D37" s="124">
        <f>ROUND((SUMIF('2022 detail'!$AE:$AE,$A37,'2022 detail'!H:H)),0)</f>
        <v>27332</v>
      </c>
      <c r="E37" s="124">
        <f t="shared" si="12"/>
        <v>0</v>
      </c>
      <c r="F37" s="24">
        <f t="shared" si="13"/>
        <v>1</v>
      </c>
      <c r="H37" s="124">
        <f>ROUND((SUMIF('2021 Detail'!$AE:$AE,$A37,'2021 Detail'!G:G)),0)</f>
        <v>27332</v>
      </c>
      <c r="I37" s="124">
        <f>ROUND((SUMIF('2022 detail'!$AE:$AE,$A37,'2022 detail'!AH:AH)),0)</f>
        <v>27266</v>
      </c>
      <c r="J37" s="124">
        <f t="shared" si="14"/>
        <v>66</v>
      </c>
      <c r="K37" s="24">
        <f t="shared" si="15"/>
        <v>0.99760000000000004</v>
      </c>
      <c r="N37" s="136"/>
      <c r="O37" s="136"/>
      <c r="Q37" s="139"/>
      <c r="R37" s="139"/>
    </row>
    <row r="38" spans="1:18" ht="15.75" x14ac:dyDescent="0.25">
      <c r="B38" s="85"/>
      <c r="C38" s="130">
        <f>SUM(C30:C37)</f>
        <v>432076</v>
      </c>
      <c r="D38" s="130">
        <f>SUM(D30:D37)</f>
        <v>355196</v>
      </c>
      <c r="E38" s="130">
        <f>SUM(E30:E37)</f>
        <v>76880</v>
      </c>
      <c r="F38" s="131">
        <f t="shared" ref="F38" si="16">ROUND((D38/C38),4)</f>
        <v>0.82210000000000005</v>
      </c>
      <c r="G38" s="132"/>
      <c r="H38" s="130">
        <f>SUM(H30:H37)</f>
        <v>432074</v>
      </c>
      <c r="I38" s="130">
        <f>SUM(I30:I37)</f>
        <v>330737</v>
      </c>
      <c r="J38" s="130">
        <f>SUM(J30:J37)</f>
        <v>101337</v>
      </c>
      <c r="K38" s="131">
        <f t="shared" ref="K38" si="17">ROUND((I38/H38),4)</f>
        <v>0.76549999999999996</v>
      </c>
      <c r="N38" s="136">
        <f>COUNTIFS(F30:F37,"=1")</f>
        <v>3</v>
      </c>
      <c r="O38" s="136">
        <f>COUNTIFS(K30:K37,"=1")</f>
        <v>1</v>
      </c>
      <c r="Q38" s="139">
        <f>COUNTIFS(F30:F37,"&gt;1")</f>
        <v>0</v>
      </c>
      <c r="R38" s="139">
        <f>COUNTIFS(K30:K37,"&gt;1")</f>
        <v>0</v>
      </c>
    </row>
    <row r="39" spans="1:18" ht="15.75" x14ac:dyDescent="0.25">
      <c r="B39" s="85"/>
      <c r="N39" s="136"/>
      <c r="O39" s="136"/>
      <c r="Q39" s="139"/>
      <c r="R39" s="139"/>
    </row>
    <row r="40" spans="1:18" x14ac:dyDescent="0.2">
      <c r="B40" s="84" t="s">
        <v>902</v>
      </c>
      <c r="N40" s="136"/>
      <c r="O40" s="136"/>
      <c r="Q40" s="139"/>
      <c r="R40" s="139"/>
    </row>
    <row r="41" spans="1:18" ht="15.75" x14ac:dyDescent="0.25">
      <c r="B41" s="85"/>
      <c r="N41" s="136"/>
      <c r="O41" s="136"/>
      <c r="Q41" s="139"/>
      <c r="R41" s="139"/>
    </row>
    <row r="42" spans="1:18" x14ac:dyDescent="0.2">
      <c r="A42" s="84" t="s">
        <v>399</v>
      </c>
      <c r="B42" s="84" t="s">
        <v>903</v>
      </c>
      <c r="C42" s="124">
        <f>ROUND((SUMIF('2022 detail'!$AE:$AE,$A42,'2022 detail'!G:G)),0)</f>
        <v>75524</v>
      </c>
      <c r="D42" s="124">
        <f>ROUND((SUMIF('2022 detail'!$AE:$AE,$A42,'2022 detail'!H:H)),0)</f>
        <v>75523</v>
      </c>
      <c r="E42" s="124">
        <f>ROUND((C42-D42),0)</f>
        <v>1</v>
      </c>
      <c r="F42" s="24">
        <f>ROUND((D42/C42),4)</f>
        <v>1</v>
      </c>
      <c r="H42" s="124">
        <f>ROUND((SUMIF('2021 Detail'!$AE:$AE,$A42,'2021 Detail'!G:G)),0)</f>
        <v>75523</v>
      </c>
      <c r="I42" s="124">
        <f>ROUND((SUMIF('2022 detail'!$AE:$AE,$A42,'2022 detail'!AH:AH)),0)</f>
        <v>75523</v>
      </c>
      <c r="J42" s="124">
        <f>ROUND((H42-I42),0)</f>
        <v>0</v>
      </c>
      <c r="K42" s="24">
        <f>ROUND((I42/H42),4)</f>
        <v>1</v>
      </c>
      <c r="N42" s="136"/>
      <c r="O42" s="136"/>
      <c r="Q42" s="139"/>
      <c r="R42" s="139"/>
    </row>
    <row r="43" spans="1:18" x14ac:dyDescent="0.2">
      <c r="A43" s="84" t="s">
        <v>400</v>
      </c>
      <c r="B43" s="84" t="s">
        <v>904</v>
      </c>
      <c r="C43" s="124">
        <f>ROUND((SUMIF('2022 detail'!$AE:$AE,$A43,'2022 detail'!G:G)),0)</f>
        <v>44743</v>
      </c>
      <c r="D43" s="124">
        <f>ROUND((SUMIF('2022 detail'!$AE:$AE,$A43,'2022 detail'!H:H)),0)</f>
        <v>39000</v>
      </c>
      <c r="E43" s="124">
        <f t="shared" ref="E43:E62" si="18">ROUND((C43-D43),0)</f>
        <v>5743</v>
      </c>
      <c r="F43" s="24">
        <f t="shared" ref="F43:F63" si="19">ROUND((D43/C43),4)</f>
        <v>0.87160000000000004</v>
      </c>
      <c r="H43" s="124">
        <f>ROUND((SUMIF('2021 Detail'!$AE:$AE,$A43,'2021 Detail'!G:G)),0)</f>
        <v>44742</v>
      </c>
      <c r="I43" s="124">
        <f>ROUND((SUMIF('2022 detail'!$AE:$AE,$A43,'2022 detail'!AH:AH)),0)</f>
        <v>37500</v>
      </c>
      <c r="J43" s="124">
        <f t="shared" ref="J43:J61" si="20">ROUND((H43-I43),0)</f>
        <v>7242</v>
      </c>
      <c r="K43" s="24">
        <f t="shared" ref="K43:K63" si="21">ROUND((I43/H43),4)</f>
        <v>0.83809999999999996</v>
      </c>
      <c r="N43" s="136"/>
      <c r="O43" s="136"/>
      <c r="Q43" s="139"/>
      <c r="R43" s="139"/>
    </row>
    <row r="44" spans="1:18" x14ac:dyDescent="0.2">
      <c r="A44" s="84" t="s">
        <v>401</v>
      </c>
      <c r="B44" s="84" t="s">
        <v>905</v>
      </c>
      <c r="C44" s="124">
        <f>ROUND((SUMIF('2022 detail'!$AE:$AE,$A44,'2022 detail'!G:G)),0)</f>
        <v>109178</v>
      </c>
      <c r="D44" s="124">
        <f>ROUND((SUMIF('2022 detail'!$AE:$AE,$A44,'2022 detail'!H:H)),0)</f>
        <v>74000</v>
      </c>
      <c r="E44" s="124">
        <f t="shared" si="18"/>
        <v>35178</v>
      </c>
      <c r="F44" s="24">
        <f t="shared" si="19"/>
        <v>0.67779999999999996</v>
      </c>
      <c r="H44" s="124">
        <f>ROUND((SUMIF('2021 Detail'!$AE:$AE,$A44,'2021 Detail'!G:G)),0)</f>
        <v>109177</v>
      </c>
      <c r="I44" s="124">
        <f>ROUND((SUMIF('2022 detail'!$AE:$AE,$A44,'2022 detail'!AH:AH)),0)</f>
        <v>77000</v>
      </c>
      <c r="J44" s="124">
        <f t="shared" si="20"/>
        <v>32177</v>
      </c>
      <c r="K44" s="24">
        <f t="shared" si="21"/>
        <v>0.70530000000000004</v>
      </c>
      <c r="N44" s="136"/>
      <c r="O44" s="136"/>
      <c r="Q44" s="139"/>
      <c r="R44" s="139"/>
    </row>
    <row r="45" spans="1:18" x14ac:dyDescent="0.2">
      <c r="A45" s="84" t="s">
        <v>402</v>
      </c>
      <c r="B45" s="84" t="s">
        <v>906</v>
      </c>
      <c r="C45" s="124">
        <f>ROUND((SUMIF('2022 detail'!$AE:$AE,$A45,'2022 detail'!G:G)),0)</f>
        <v>182707</v>
      </c>
      <c r="D45" s="124">
        <f>ROUND((SUMIF('2022 detail'!$AE:$AE,$A45,'2022 detail'!H:H)),0)</f>
        <v>88213</v>
      </c>
      <c r="E45" s="124">
        <f t="shared" si="18"/>
        <v>94494</v>
      </c>
      <c r="F45" s="24">
        <f t="shared" si="19"/>
        <v>0.48280000000000001</v>
      </c>
      <c r="H45" s="124">
        <f>ROUND((SUMIF('2021 Detail'!$AE:$AE,$A45,'2021 Detail'!G:G)),0)</f>
        <v>194151</v>
      </c>
      <c r="I45" s="124">
        <f>ROUND((SUMIF('2022 detail'!$AE:$AE,$A45,'2022 detail'!AH:AH)),0)</f>
        <v>127640</v>
      </c>
      <c r="J45" s="124">
        <f t="shared" si="20"/>
        <v>66511</v>
      </c>
      <c r="K45" s="24">
        <f t="shared" si="21"/>
        <v>0.65739999999999998</v>
      </c>
      <c r="N45" s="136"/>
      <c r="O45" s="136"/>
      <c r="Q45" s="139"/>
      <c r="R45" s="139"/>
    </row>
    <row r="46" spans="1:18" x14ac:dyDescent="0.2">
      <c r="A46" s="84" t="s">
        <v>403</v>
      </c>
      <c r="B46" s="84" t="s">
        <v>907</v>
      </c>
      <c r="C46" s="124">
        <f>ROUND((SUMIF('2022 detail'!$AE:$AE,$A46,'2022 detail'!G:G)),0)</f>
        <v>40656</v>
      </c>
      <c r="D46" s="124">
        <f>ROUND((SUMIF('2022 detail'!$AE:$AE,$A46,'2022 detail'!H:H)),0)</f>
        <v>40656</v>
      </c>
      <c r="E46" s="124">
        <f t="shared" si="18"/>
        <v>0</v>
      </c>
      <c r="F46" s="24">
        <f t="shared" si="19"/>
        <v>1</v>
      </c>
      <c r="H46" s="124">
        <f>ROUND((SUMIF('2021 Detail'!$AE:$AE,$A46,'2021 Detail'!G:G)),0)</f>
        <v>40656</v>
      </c>
      <c r="I46" s="124">
        <f>ROUND((SUMIF('2022 detail'!$AE:$AE,$A46,'2022 detail'!AH:AH)),0)</f>
        <v>30000</v>
      </c>
      <c r="J46" s="124">
        <f t="shared" si="20"/>
        <v>10656</v>
      </c>
      <c r="K46" s="24">
        <f t="shared" si="21"/>
        <v>0.7379</v>
      </c>
      <c r="N46" s="136"/>
      <c r="O46" s="136"/>
      <c r="Q46" s="139"/>
      <c r="R46" s="139"/>
    </row>
    <row r="47" spans="1:18" x14ac:dyDescent="0.2">
      <c r="A47" s="84" t="s">
        <v>1191</v>
      </c>
      <c r="B47" s="84" t="s">
        <v>1192</v>
      </c>
      <c r="C47" s="124">
        <f>ROUND((SUMIF('2022 detail'!$AE:$AE,$A47,'2022 detail'!G:G)),0)</f>
        <v>0</v>
      </c>
      <c r="D47" s="124">
        <f>ROUND((SUMIF('2022 detail'!$AE:$AE,$A47,'2022 detail'!H:H)),0)</f>
        <v>5000</v>
      </c>
      <c r="E47" s="124">
        <f t="shared" ref="E47" si="22">ROUND((C47-D47),0)</f>
        <v>-5000</v>
      </c>
      <c r="F47" s="24"/>
      <c r="H47" s="124">
        <f>ROUND((SUMIF('2021 Detail'!$AE:$AE,$A47,'2021 Detail'!G:G)),0)</f>
        <v>0</v>
      </c>
      <c r="I47" s="124">
        <f>ROUND((SUMIF('2022 detail'!$AE:$AE,$A47,'2022 detail'!AH:AH)),0)</f>
        <v>0</v>
      </c>
      <c r="J47" s="124">
        <f t="shared" ref="J47" si="23">ROUND((H47-I47),0)</f>
        <v>0</v>
      </c>
      <c r="K47" s="24"/>
      <c r="N47" s="136"/>
      <c r="O47" s="136"/>
      <c r="Q47" s="139"/>
      <c r="R47" s="139"/>
    </row>
    <row r="48" spans="1:18" x14ac:dyDescent="0.2">
      <c r="A48" s="84" t="s">
        <v>404</v>
      </c>
      <c r="B48" s="84" t="s">
        <v>908</v>
      </c>
      <c r="C48" s="124">
        <f>ROUND((SUMIF('2022 detail'!$AE:$AE,$A48,'2022 detail'!G:G)),0)</f>
        <v>143697</v>
      </c>
      <c r="D48" s="124">
        <f>ROUND((SUMIF('2022 detail'!$AE:$AE,$A48,'2022 detail'!H:H)),0)</f>
        <v>50200</v>
      </c>
      <c r="E48" s="124">
        <f t="shared" si="18"/>
        <v>93497</v>
      </c>
      <c r="F48" s="24">
        <f t="shared" si="19"/>
        <v>0.3493</v>
      </c>
      <c r="H48" s="124">
        <f>ROUND((SUMIF('2021 Detail'!$AE:$AE,$A48,'2021 Detail'!G:G)),0)</f>
        <v>143697</v>
      </c>
      <c r="I48" s="124">
        <f>ROUND((SUMIF('2022 detail'!$AE:$AE,$A48,'2022 detail'!AH:AH)),0)</f>
        <v>70000</v>
      </c>
      <c r="J48" s="124">
        <f t="shared" si="20"/>
        <v>73697</v>
      </c>
      <c r="K48" s="24">
        <f t="shared" si="21"/>
        <v>0.48709999999999998</v>
      </c>
      <c r="N48" s="136"/>
      <c r="O48" s="136"/>
      <c r="Q48" s="139"/>
      <c r="R48" s="139"/>
    </row>
    <row r="49" spans="1:18" x14ac:dyDescent="0.2">
      <c r="A49" s="84" t="s">
        <v>405</v>
      </c>
      <c r="B49" s="84" t="s">
        <v>909</v>
      </c>
      <c r="C49" s="124">
        <f>ROUND((SUMIF('2022 detail'!$AE:$AE,$A49,'2022 detail'!G:G)),0)</f>
        <v>51430</v>
      </c>
      <c r="D49" s="124">
        <f>ROUND((SUMIF('2022 detail'!$AE:$AE,$A49,'2022 detail'!H:H)),0)</f>
        <v>47135</v>
      </c>
      <c r="E49" s="124">
        <f t="shared" si="18"/>
        <v>4295</v>
      </c>
      <c r="F49" s="24">
        <f t="shared" si="19"/>
        <v>0.91649999999999998</v>
      </c>
      <c r="H49" s="124">
        <f>ROUND((SUMIF('2021 Detail'!$AE:$AE,$A49,'2021 Detail'!G:G)),0)</f>
        <v>51430</v>
      </c>
      <c r="I49" s="124">
        <f>ROUND((SUMIF('2022 detail'!$AE:$AE,$A49,'2022 detail'!AH:AH)),0)</f>
        <v>51430</v>
      </c>
      <c r="J49" s="124">
        <f t="shared" si="20"/>
        <v>0</v>
      </c>
      <c r="K49" s="24">
        <f t="shared" si="21"/>
        <v>1</v>
      </c>
      <c r="N49" s="136"/>
      <c r="O49" s="136"/>
      <c r="Q49" s="139"/>
      <c r="R49" s="139"/>
    </row>
    <row r="50" spans="1:18" x14ac:dyDescent="0.2">
      <c r="A50" s="84" t="s">
        <v>406</v>
      </c>
      <c r="B50" s="84" t="s">
        <v>910</v>
      </c>
      <c r="C50" s="124">
        <f>ROUND((SUMIF('2022 detail'!$AE:$AE,$A50,'2022 detail'!G:G)),0)</f>
        <v>66354</v>
      </c>
      <c r="D50" s="124">
        <f>ROUND((SUMIF('2022 detail'!$AE:$AE,$A50,'2022 detail'!H:H)),0)</f>
        <v>65647</v>
      </c>
      <c r="E50" s="124">
        <f t="shared" si="18"/>
        <v>707</v>
      </c>
      <c r="F50" s="24">
        <f t="shared" si="19"/>
        <v>0.98929999999999996</v>
      </c>
      <c r="H50" s="124">
        <f>ROUND((SUMIF('2021 Detail'!$AE:$AE,$A50,'2021 Detail'!G:G)),0)</f>
        <v>66353</v>
      </c>
      <c r="I50" s="124">
        <f>ROUND((SUMIF('2022 detail'!$AE:$AE,$A50,'2022 detail'!AH:AH)),0)</f>
        <v>66353</v>
      </c>
      <c r="J50" s="124">
        <f t="shared" si="20"/>
        <v>0</v>
      </c>
      <c r="K50" s="24">
        <f t="shared" si="21"/>
        <v>1</v>
      </c>
      <c r="N50" s="136"/>
      <c r="O50" s="136"/>
      <c r="Q50" s="139"/>
      <c r="R50" s="139"/>
    </row>
    <row r="51" spans="1:18" x14ac:dyDescent="0.2">
      <c r="A51" s="84" t="s">
        <v>407</v>
      </c>
      <c r="B51" s="84" t="s">
        <v>911</v>
      </c>
      <c r="C51" s="124">
        <f>ROUND((SUMIF('2022 detail'!$AE:$AE,$A51,'2022 detail'!G:G)),0)</f>
        <v>111579</v>
      </c>
      <c r="D51" s="124">
        <f>ROUND((SUMIF('2022 detail'!$AE:$AE,$A51,'2022 detail'!H:H)),0)</f>
        <v>111579</v>
      </c>
      <c r="E51" s="124">
        <f t="shared" si="18"/>
        <v>0</v>
      </c>
      <c r="F51" s="24">
        <f t="shared" si="19"/>
        <v>1</v>
      </c>
      <c r="H51" s="124">
        <f>ROUND((SUMIF('2021 Detail'!$AE:$AE,$A51,'2021 Detail'!G:G)),0)</f>
        <v>111579</v>
      </c>
      <c r="I51" s="124">
        <f>ROUND((SUMIF('2022 detail'!$AE:$AE,$A51,'2022 detail'!AH:AH)),0)</f>
        <v>111579</v>
      </c>
      <c r="J51" s="124">
        <f t="shared" si="20"/>
        <v>0</v>
      </c>
      <c r="K51" s="24">
        <f t="shared" si="21"/>
        <v>1</v>
      </c>
      <c r="N51" s="136"/>
      <c r="O51" s="136"/>
      <c r="Q51" s="139"/>
      <c r="R51" s="139"/>
    </row>
    <row r="52" spans="1:18" x14ac:dyDescent="0.2">
      <c r="A52" s="84" t="s">
        <v>409</v>
      </c>
      <c r="B52" s="84" t="s">
        <v>912</v>
      </c>
      <c r="C52" s="124">
        <f>ROUND((SUMIF('2022 detail'!$AE:$AE,$A52,'2022 detail'!G:G)),0)</f>
        <v>79131</v>
      </c>
      <c r="D52" s="124">
        <f>ROUND((SUMIF('2022 detail'!$AE:$AE,$A52,'2022 detail'!H:H)),0)</f>
        <v>54000</v>
      </c>
      <c r="E52" s="124">
        <f t="shared" si="18"/>
        <v>25131</v>
      </c>
      <c r="F52" s="24">
        <f t="shared" si="19"/>
        <v>0.68240000000000001</v>
      </c>
      <c r="H52" s="124">
        <f>ROUND((SUMIF('2021 Detail'!$AE:$AE,$A52,'2021 Detail'!G:G)),0)</f>
        <v>79130</v>
      </c>
      <c r="I52" s="124">
        <f>ROUND((SUMIF('2022 detail'!$AE:$AE,$A52,'2022 detail'!AH:AH)),0)</f>
        <v>54000</v>
      </c>
      <c r="J52" s="124">
        <f t="shared" si="20"/>
        <v>25130</v>
      </c>
      <c r="K52" s="24">
        <f t="shared" si="21"/>
        <v>0.68240000000000001</v>
      </c>
      <c r="N52" s="136"/>
      <c r="O52" s="136"/>
      <c r="Q52" s="139"/>
      <c r="R52" s="139"/>
    </row>
    <row r="53" spans="1:18" x14ac:dyDescent="0.2">
      <c r="A53" s="84" t="s">
        <v>410</v>
      </c>
      <c r="B53" s="84" t="s">
        <v>913</v>
      </c>
      <c r="C53" s="124">
        <f>ROUND((SUMIF('2022 detail'!$AE:$AE,$A53,'2022 detail'!G:G)),0)</f>
        <v>90610</v>
      </c>
      <c r="D53" s="124">
        <f>ROUND((SUMIF('2022 detail'!$AE:$AE,$A53,'2022 detail'!H:H)),0)</f>
        <v>90610</v>
      </c>
      <c r="E53" s="124">
        <f t="shared" si="18"/>
        <v>0</v>
      </c>
      <c r="F53" s="24">
        <f t="shared" si="19"/>
        <v>1</v>
      </c>
      <c r="H53" s="124">
        <f>ROUND((SUMIF('2021 Detail'!$AE:$AE,$A53,'2021 Detail'!G:G)),0)</f>
        <v>90610</v>
      </c>
      <c r="I53" s="124">
        <f>ROUND((SUMIF('2022 detail'!$AE:$AE,$A53,'2022 detail'!AH:AH)),0)</f>
        <v>90610</v>
      </c>
      <c r="J53" s="124">
        <f t="shared" si="20"/>
        <v>0</v>
      </c>
      <c r="K53" s="24">
        <f t="shared" si="21"/>
        <v>1</v>
      </c>
      <c r="N53" s="136"/>
      <c r="O53" s="136"/>
      <c r="Q53" s="139"/>
      <c r="R53" s="139"/>
    </row>
    <row r="54" spans="1:18" x14ac:dyDescent="0.2">
      <c r="A54" s="84" t="s">
        <v>411</v>
      </c>
      <c r="B54" s="84" t="s">
        <v>914</v>
      </c>
      <c r="C54" s="124">
        <f>ROUND((SUMIF('2022 detail'!$AE:$AE,$A54,'2022 detail'!G:G)),0)</f>
        <v>56790</v>
      </c>
      <c r="D54" s="124">
        <f>ROUND((SUMIF('2022 detail'!$AE:$AE,$A54,'2022 detail'!H:H)),0)</f>
        <v>41502</v>
      </c>
      <c r="E54" s="124">
        <f t="shared" si="18"/>
        <v>15288</v>
      </c>
      <c r="F54" s="24">
        <f t="shared" si="19"/>
        <v>0.73080000000000001</v>
      </c>
      <c r="H54" s="124">
        <f>ROUND((SUMIF('2021 Detail'!$AE:$AE,$A54,'2021 Detail'!G:G)),0)</f>
        <v>56790</v>
      </c>
      <c r="I54" s="124">
        <f>ROUND((SUMIF('2022 detail'!$AE:$AE,$A54,'2022 detail'!AH:AH)),0)</f>
        <v>45045</v>
      </c>
      <c r="J54" s="124">
        <f t="shared" si="20"/>
        <v>11745</v>
      </c>
      <c r="K54" s="24">
        <f t="shared" si="21"/>
        <v>0.79320000000000002</v>
      </c>
      <c r="N54" s="136"/>
      <c r="O54" s="136"/>
      <c r="Q54" s="139"/>
      <c r="R54" s="139"/>
    </row>
    <row r="55" spans="1:18" x14ac:dyDescent="0.2">
      <c r="A55" s="84" t="s">
        <v>412</v>
      </c>
      <c r="B55" s="84" t="s">
        <v>915</v>
      </c>
      <c r="C55" s="124">
        <f>ROUND((SUMIF('2022 detail'!$AE:$AE,$A55,'2022 detail'!G:G)),0)</f>
        <v>113604</v>
      </c>
      <c r="D55" s="124">
        <f>ROUND((SUMIF('2022 detail'!$AE:$AE,$A55,'2022 detail'!H:H)),0)</f>
        <v>55000</v>
      </c>
      <c r="E55" s="124">
        <f t="shared" si="18"/>
        <v>58604</v>
      </c>
      <c r="F55" s="24">
        <f t="shared" si="19"/>
        <v>0.48409999999999997</v>
      </c>
      <c r="H55" s="124">
        <f>ROUND((SUMIF('2021 Detail'!$AE:$AE,$A55,'2021 Detail'!G:G)),0)</f>
        <v>113604</v>
      </c>
      <c r="I55" s="124">
        <f>ROUND((SUMIF('2022 detail'!$AE:$AE,$A55,'2022 detail'!AH:AH)),0)</f>
        <v>54000</v>
      </c>
      <c r="J55" s="124">
        <f t="shared" si="20"/>
        <v>59604</v>
      </c>
      <c r="K55" s="24">
        <f t="shared" si="21"/>
        <v>0.4753</v>
      </c>
      <c r="N55" s="136"/>
      <c r="O55" s="136"/>
      <c r="Q55" s="139"/>
      <c r="R55" s="139"/>
    </row>
    <row r="56" spans="1:18" x14ac:dyDescent="0.2">
      <c r="A56" s="84" t="s">
        <v>413</v>
      </c>
      <c r="B56" s="84" t="s">
        <v>916</v>
      </c>
      <c r="C56" s="124">
        <f>ROUND((SUMIF('2022 detail'!$AE:$AE,$A56,'2022 detail'!G:G)),0)</f>
        <v>29780</v>
      </c>
      <c r="D56" s="124">
        <f>ROUND((SUMIF('2022 detail'!$AE:$AE,$A56,'2022 detail'!H:H)),0)</f>
        <v>27000</v>
      </c>
      <c r="E56" s="124">
        <f t="shared" si="18"/>
        <v>2780</v>
      </c>
      <c r="F56" s="24">
        <f t="shared" si="19"/>
        <v>0.90659999999999996</v>
      </c>
      <c r="H56" s="124">
        <f>ROUND((SUMIF('2021 Detail'!$AE:$AE,$A56,'2021 Detail'!G:G)),0)</f>
        <v>29780</v>
      </c>
      <c r="I56" s="124">
        <f>ROUND((SUMIF('2022 detail'!$AE:$AE,$A56,'2022 detail'!AH:AH)),0)</f>
        <v>27000</v>
      </c>
      <c r="J56" s="124">
        <f t="shared" si="20"/>
        <v>2780</v>
      </c>
      <c r="K56" s="24">
        <f t="shared" si="21"/>
        <v>0.90659999999999996</v>
      </c>
      <c r="N56" s="136"/>
      <c r="O56" s="136"/>
      <c r="Q56" s="139"/>
      <c r="R56" s="139"/>
    </row>
    <row r="57" spans="1:18" x14ac:dyDescent="0.2">
      <c r="A57" s="84" t="s">
        <v>414</v>
      </c>
      <c r="B57" s="84" t="s">
        <v>917</v>
      </c>
      <c r="C57" s="124">
        <f>ROUND((SUMIF('2022 detail'!$AE:$AE,$A57,'2022 detail'!G:G)),0)</f>
        <v>23785</v>
      </c>
      <c r="D57" s="124">
        <f>ROUND((SUMIF('2022 detail'!$AE:$AE,$A57,'2022 detail'!H:H)),0)</f>
        <v>24215</v>
      </c>
      <c r="E57" s="124">
        <f t="shared" si="18"/>
        <v>-430</v>
      </c>
      <c r="F57" s="24">
        <f t="shared" si="19"/>
        <v>1.0181</v>
      </c>
      <c r="H57" s="124">
        <f>ROUND((SUMIF('2021 Detail'!$AE:$AE,$A57,'2021 Detail'!G:G)),0)</f>
        <v>23785</v>
      </c>
      <c r="I57" s="124">
        <f>ROUND((SUMIF('2022 detail'!$AE:$AE,$A57,'2022 detail'!AH:AH)),0)</f>
        <v>23785</v>
      </c>
      <c r="J57" s="124">
        <f t="shared" si="20"/>
        <v>0</v>
      </c>
      <c r="K57" s="24">
        <f t="shared" si="21"/>
        <v>1</v>
      </c>
      <c r="N57" s="136"/>
      <c r="O57" s="136"/>
      <c r="Q57" s="139"/>
      <c r="R57" s="139"/>
    </row>
    <row r="58" spans="1:18" x14ac:dyDescent="0.2">
      <c r="A58" s="84" t="s">
        <v>415</v>
      </c>
      <c r="B58" s="84" t="s">
        <v>125</v>
      </c>
      <c r="C58" s="124">
        <f>ROUND((SUMIF('2022 detail'!$AE:$AE,$A58,'2022 detail'!G:G)),0)</f>
        <v>97546</v>
      </c>
      <c r="D58" s="124">
        <f>ROUND((SUMIF('2022 detail'!$AE:$AE,$A58,'2022 detail'!H:H)),0)</f>
        <v>55000</v>
      </c>
      <c r="E58" s="124">
        <f t="shared" si="18"/>
        <v>42546</v>
      </c>
      <c r="F58" s="24">
        <f t="shared" si="19"/>
        <v>0.56379999999999997</v>
      </c>
      <c r="H58" s="124">
        <f>ROUND((SUMIF('2021 Detail'!$AE:$AE,$A58,'2021 Detail'!G:G)),0)</f>
        <v>97545</v>
      </c>
      <c r="I58" s="124">
        <f>ROUND((SUMIF('2022 detail'!$AE:$AE,$A58,'2022 detail'!AH:AH)),0)</f>
        <v>59000</v>
      </c>
      <c r="J58" s="124">
        <f t="shared" si="20"/>
        <v>38545</v>
      </c>
      <c r="K58" s="24">
        <f t="shared" si="21"/>
        <v>0.6048</v>
      </c>
      <c r="N58" s="136"/>
      <c r="O58" s="136"/>
      <c r="Q58" s="139"/>
      <c r="R58" s="139"/>
    </row>
    <row r="59" spans="1:18" x14ac:dyDescent="0.2">
      <c r="A59" s="84" t="s">
        <v>416</v>
      </c>
      <c r="B59" s="84" t="s">
        <v>918</v>
      </c>
      <c r="C59" s="124">
        <f>ROUND((SUMIF('2022 detail'!$AE:$AE,$A59,'2022 detail'!G:G)),0)</f>
        <v>28505</v>
      </c>
      <c r="D59" s="124">
        <f>ROUND((SUMIF('2022 detail'!$AE:$AE,$A59,'2022 detail'!H:H)),0)</f>
        <v>27600</v>
      </c>
      <c r="E59" s="124">
        <f t="shared" si="18"/>
        <v>905</v>
      </c>
      <c r="F59" s="24">
        <f t="shared" si="19"/>
        <v>0.96830000000000005</v>
      </c>
      <c r="H59" s="124">
        <f>ROUND((SUMIF('2021 Detail'!$AE:$AE,$A59,'2021 Detail'!G:G)),0)</f>
        <v>28505</v>
      </c>
      <c r="I59" s="124">
        <f>ROUND((SUMIF('2022 detail'!$AE:$AE,$A59,'2022 detail'!AH:AH)),0)</f>
        <v>13800</v>
      </c>
      <c r="J59" s="124">
        <f t="shared" si="20"/>
        <v>14705</v>
      </c>
      <c r="K59" s="24">
        <f t="shared" si="21"/>
        <v>0.48409999999999997</v>
      </c>
      <c r="N59" s="136"/>
      <c r="O59" s="136"/>
      <c r="Q59" s="139"/>
      <c r="R59" s="139"/>
    </row>
    <row r="60" spans="1:18" x14ac:dyDescent="0.2">
      <c r="A60" s="84" t="s">
        <v>417</v>
      </c>
      <c r="B60" s="84" t="s">
        <v>919</v>
      </c>
      <c r="C60" s="124">
        <f>ROUND((SUMIF('2022 detail'!$AE:$AE,$A60,'2022 detail'!G:G)),0)</f>
        <v>65787</v>
      </c>
      <c r="D60" s="124">
        <f>ROUND((SUMIF('2022 detail'!$AE:$AE,$A60,'2022 detail'!H:H)),0)</f>
        <v>32787</v>
      </c>
      <c r="E60" s="124">
        <f t="shared" si="18"/>
        <v>33000</v>
      </c>
      <c r="F60" s="24">
        <f t="shared" si="19"/>
        <v>0.49840000000000001</v>
      </c>
      <c r="H60" s="124">
        <f>ROUND((SUMIF('2021 Detail'!$AE:$AE,$A60,'2021 Detail'!G:G)),0)</f>
        <v>65787</v>
      </c>
      <c r="I60" s="124">
        <f>ROUND((SUMIF('2022 detail'!$AE:$AE,$A60,'2022 detail'!AH:AH)),0)</f>
        <v>46310</v>
      </c>
      <c r="J60" s="124">
        <f t="shared" si="20"/>
        <v>19477</v>
      </c>
      <c r="K60" s="24">
        <f t="shared" si="21"/>
        <v>0.70389999999999997</v>
      </c>
      <c r="N60" s="136"/>
      <c r="O60" s="136"/>
      <c r="Q60" s="139"/>
      <c r="R60" s="139"/>
    </row>
    <row r="61" spans="1:18" x14ac:dyDescent="0.2">
      <c r="A61" s="84" t="s">
        <v>418</v>
      </c>
      <c r="B61" s="84" t="s">
        <v>920</v>
      </c>
      <c r="C61" s="124">
        <f>ROUND((SUMIF('2022 detail'!$AE:$AE,$A61,'2022 detail'!G:G)),0)</f>
        <v>64599</v>
      </c>
      <c r="D61" s="124">
        <f>ROUND((SUMIF('2022 detail'!$AE:$AE,$A61,'2022 detail'!H:H)),0)</f>
        <v>23114</v>
      </c>
      <c r="E61" s="124">
        <f t="shared" si="18"/>
        <v>41485</v>
      </c>
      <c r="F61" s="24">
        <f t="shared" si="19"/>
        <v>0.35780000000000001</v>
      </c>
      <c r="H61" s="124">
        <f>ROUND((SUMIF('2021 Detail'!$AE:$AE,$A61,'2021 Detail'!G:G)),0)</f>
        <v>64599</v>
      </c>
      <c r="I61" s="124">
        <f>ROUND((SUMIF('2022 detail'!$AE:$AE,$A61,'2022 detail'!AH:AH)),0)</f>
        <v>22500</v>
      </c>
      <c r="J61" s="124">
        <f t="shared" si="20"/>
        <v>42099</v>
      </c>
      <c r="K61" s="24">
        <f t="shared" si="21"/>
        <v>0.3483</v>
      </c>
      <c r="N61" s="136"/>
      <c r="O61" s="136"/>
      <c r="Q61" s="139"/>
      <c r="R61" s="139"/>
    </row>
    <row r="62" spans="1:18" x14ac:dyDescent="0.2">
      <c r="A62" s="84" t="s">
        <v>1131</v>
      </c>
      <c r="B62" s="84" t="s">
        <v>1130</v>
      </c>
      <c r="C62" s="124">
        <f>ROUND((SUMIF('2022 detail'!$AE:$AE,$A62,'2022 detail'!G:G)),0)</f>
        <v>21842</v>
      </c>
      <c r="D62" s="124">
        <f>ROUND((SUMIF('2022 detail'!$AE:$AE,$A62,'2022 detail'!H:H)),0)</f>
        <v>18000</v>
      </c>
      <c r="E62" s="124">
        <f t="shared" si="18"/>
        <v>3842</v>
      </c>
      <c r="F62" s="24">
        <f t="shared" si="19"/>
        <v>0.82410000000000005</v>
      </c>
      <c r="H62" s="124">
        <f>ROUND((SUMIF('2021 Detail'!$AE:$AE,$A62,'2021 Detail'!G:G)),0)</f>
        <v>21841</v>
      </c>
      <c r="I62" s="124">
        <f>ROUND((SUMIF('2022 detail'!$AE:$AE,$A62,'2022 detail'!AH:AH)),0)</f>
        <v>12000</v>
      </c>
      <c r="J62" s="124">
        <f t="shared" ref="J62" si="24">ROUND((H62-I62),0)</f>
        <v>9841</v>
      </c>
      <c r="K62" s="24">
        <f t="shared" ref="K62" si="25">ROUND((I62/H62),4)</f>
        <v>0.5494</v>
      </c>
      <c r="N62" s="136"/>
      <c r="O62" s="136"/>
      <c r="Q62" s="139"/>
      <c r="R62" s="139"/>
    </row>
    <row r="63" spans="1:18" ht="15.75" x14ac:dyDescent="0.25">
      <c r="B63" s="85"/>
      <c r="C63" s="130">
        <f>SUM(C42:C62)</f>
        <v>1497847</v>
      </c>
      <c r="D63" s="130">
        <f>SUM(D42:D62)</f>
        <v>1045781</v>
      </c>
      <c r="E63" s="130">
        <f>SUM(E42:E62)</f>
        <v>452066</v>
      </c>
      <c r="F63" s="131">
        <f t="shared" si="19"/>
        <v>0.69820000000000004</v>
      </c>
      <c r="G63" s="132"/>
      <c r="H63" s="130">
        <f>SUM(H42:H62)</f>
        <v>1509284</v>
      </c>
      <c r="I63" s="130">
        <f>SUM(I42:I62)</f>
        <v>1095075</v>
      </c>
      <c r="J63" s="130">
        <f>SUM(J42:J62)</f>
        <v>414209</v>
      </c>
      <c r="K63" s="131">
        <f t="shared" si="21"/>
        <v>0.72560000000000002</v>
      </c>
      <c r="N63" s="136">
        <f>COUNTIFS(F42:F61,"=1")</f>
        <v>4</v>
      </c>
      <c r="O63" s="136">
        <f>COUNTIFS(K42:K61,"=1")</f>
        <v>6</v>
      </c>
      <c r="Q63" s="139">
        <f>COUNTIFS(F42:F61,"&gt;1")</f>
        <v>1</v>
      </c>
      <c r="R63" s="139">
        <f>COUNTIFS(K42:K61,"&gt;1")</f>
        <v>0</v>
      </c>
    </row>
    <row r="64" spans="1:18" ht="15.75" x14ac:dyDescent="0.25">
      <c r="B64" s="85"/>
      <c r="N64" s="136"/>
      <c r="O64" s="136"/>
      <c r="Q64" s="139"/>
      <c r="R64" s="139"/>
    </row>
    <row r="65" spans="1:18" x14ac:dyDescent="0.2">
      <c r="B65" s="84" t="s">
        <v>921</v>
      </c>
      <c r="N65" s="136"/>
      <c r="O65" s="136"/>
      <c r="Q65" s="139"/>
      <c r="R65" s="139"/>
    </row>
    <row r="66" spans="1:18" ht="15.75" x14ac:dyDescent="0.25">
      <c r="B66" s="85"/>
      <c r="N66" s="136"/>
      <c r="O66" s="136"/>
      <c r="Q66" s="139"/>
      <c r="R66" s="139"/>
    </row>
    <row r="67" spans="1:18" x14ac:dyDescent="0.2">
      <c r="A67" s="84" t="s">
        <v>419</v>
      </c>
      <c r="B67" s="84" t="s">
        <v>922</v>
      </c>
      <c r="C67" s="124">
        <f>ROUND((SUMIF('2022 detail'!$AE:$AE,$A67,'2022 detail'!G:G)),0)</f>
        <v>63411</v>
      </c>
      <c r="D67" s="124">
        <f>ROUND((SUMIF('2022 detail'!$AE:$AE,$A67,'2022 detail'!H:H)),0)</f>
        <v>32748</v>
      </c>
      <c r="E67" s="124">
        <f>ROUND((C67-D67),0)</f>
        <v>30663</v>
      </c>
      <c r="F67" s="24">
        <f>ROUND((D67/C67),4)</f>
        <v>0.51639999999999997</v>
      </c>
      <c r="H67" s="124">
        <f>ROUND((SUMIF('2021 Detail'!$AE:$AE,$A67,'2021 Detail'!G:G)),0)</f>
        <v>63303</v>
      </c>
      <c r="I67" s="124">
        <f>ROUND((SUMIF('2022 detail'!$AE:$AE,$A67,'2022 detail'!AH:AH)),0)</f>
        <v>39557</v>
      </c>
      <c r="J67" s="124">
        <f>ROUND((H67-I67),0)</f>
        <v>23746</v>
      </c>
      <c r="K67" s="24">
        <f>ROUND((I67/H67),4)</f>
        <v>0.62490000000000001</v>
      </c>
      <c r="N67" s="136"/>
      <c r="O67" s="136"/>
      <c r="Q67" s="139"/>
      <c r="R67" s="139"/>
    </row>
    <row r="68" spans="1:18" x14ac:dyDescent="0.2">
      <c r="A68" s="84" t="s">
        <v>420</v>
      </c>
      <c r="B68" s="84" t="s">
        <v>923</v>
      </c>
      <c r="C68" s="124">
        <f>ROUND((SUMIF('2022 detail'!$AE:$AE,$A68,'2022 detail'!G:G)),0)</f>
        <v>67496</v>
      </c>
      <c r="D68" s="124">
        <f>ROUND((SUMIF('2022 detail'!$AE:$AE,$A68,'2022 detail'!H:H)),0)</f>
        <v>56500</v>
      </c>
      <c r="E68" s="124">
        <f t="shared" ref="E68:E75" si="26">ROUND((C68-D68),0)</f>
        <v>10996</v>
      </c>
      <c r="F68" s="24">
        <f t="shared" ref="F68:F76" si="27">ROUND((D68/C68),4)</f>
        <v>0.83709999999999996</v>
      </c>
      <c r="H68" s="124">
        <f>ROUND((SUMIF('2021 Detail'!$AE:$AE,$A68,'2021 Detail'!G:G)),0)</f>
        <v>67496</v>
      </c>
      <c r="I68" s="124">
        <f>ROUND((SUMIF('2022 detail'!$AE:$AE,$A68,'2022 detail'!AH:AH)),0)</f>
        <v>43112</v>
      </c>
      <c r="J68" s="124">
        <f t="shared" ref="J68:J75" si="28">ROUND((H68-I68),0)</f>
        <v>24384</v>
      </c>
      <c r="K68" s="24">
        <f t="shared" ref="K68:K76" si="29">ROUND((I68/H68),4)</f>
        <v>0.63870000000000005</v>
      </c>
      <c r="N68" s="136"/>
      <c r="O68" s="136"/>
      <c r="Q68" s="139"/>
      <c r="R68" s="139"/>
    </row>
    <row r="69" spans="1:18" x14ac:dyDescent="0.2">
      <c r="A69" s="84" t="s">
        <v>421</v>
      </c>
      <c r="B69" s="84" t="s">
        <v>924</v>
      </c>
      <c r="C69" s="124">
        <f>ROUND((SUMIF('2022 detail'!$AE:$AE,$A69,'2022 detail'!G:G)),0)</f>
        <v>36721</v>
      </c>
      <c r="D69" s="124">
        <f>ROUND((SUMIF('2022 detail'!$AE:$AE,$A69,'2022 detail'!H:H)),0)</f>
        <v>35485</v>
      </c>
      <c r="E69" s="124">
        <f t="shared" si="26"/>
        <v>1236</v>
      </c>
      <c r="F69" s="24">
        <f t="shared" si="27"/>
        <v>0.96630000000000005</v>
      </c>
      <c r="H69" s="124">
        <f>ROUND((SUMIF('2021 Detail'!$AE:$AE,$A69,'2021 Detail'!G:G)),0)</f>
        <v>36721</v>
      </c>
      <c r="I69" s="124">
        <f>ROUND((SUMIF('2022 detail'!$AE:$AE,$A69,'2022 detail'!AH:AH)),0)</f>
        <v>34459</v>
      </c>
      <c r="J69" s="124">
        <f t="shared" si="28"/>
        <v>2262</v>
      </c>
      <c r="K69" s="24">
        <f t="shared" si="29"/>
        <v>0.93840000000000001</v>
      </c>
      <c r="N69" s="136"/>
      <c r="O69" s="136"/>
      <c r="Q69" s="139"/>
      <c r="R69" s="139"/>
    </row>
    <row r="70" spans="1:18" x14ac:dyDescent="0.2">
      <c r="A70" s="84" t="s">
        <v>427</v>
      </c>
      <c r="B70" s="84" t="s">
        <v>925</v>
      </c>
      <c r="C70" s="124">
        <f>ROUND((SUMIF('2022 detail'!$AE:$AE,$A70,'2022 detail'!G:G)),0)</f>
        <v>74930</v>
      </c>
      <c r="D70" s="124">
        <f>ROUND((SUMIF('2022 detail'!$AE:$AE,$A70,'2022 detail'!H:H)),0)</f>
        <v>43987</v>
      </c>
      <c r="E70" s="124">
        <f t="shared" si="26"/>
        <v>30943</v>
      </c>
      <c r="F70" s="24">
        <f t="shared" si="27"/>
        <v>0.58699999999999997</v>
      </c>
      <c r="H70" s="124">
        <f>ROUND((SUMIF('2021 Detail'!$AE:$AE,$A70,'2021 Detail'!G:G)),0)</f>
        <v>74930</v>
      </c>
      <c r="I70" s="124">
        <f>ROUND((SUMIF('2022 detail'!$AE:$AE,$A70,'2022 detail'!AH:AH)),0)</f>
        <v>54857</v>
      </c>
      <c r="J70" s="124">
        <f t="shared" si="28"/>
        <v>20073</v>
      </c>
      <c r="K70" s="24">
        <f t="shared" si="29"/>
        <v>0.73209999999999997</v>
      </c>
      <c r="N70" s="136"/>
      <c r="O70" s="136"/>
      <c r="Q70" s="139"/>
      <c r="R70" s="139"/>
    </row>
    <row r="71" spans="1:18" x14ac:dyDescent="0.2">
      <c r="A71" s="84" t="s">
        <v>422</v>
      </c>
      <c r="B71" s="84" t="s">
        <v>926</v>
      </c>
      <c r="C71" s="124">
        <f>ROUND((SUMIF('2022 detail'!$AE:$AE,$A71,'2022 detail'!G:G)),0)</f>
        <v>68595</v>
      </c>
      <c r="D71" s="124">
        <f>ROUND((SUMIF('2022 detail'!$AE:$AE,$A71,'2022 detail'!H:H)),0)</f>
        <v>68595</v>
      </c>
      <c r="E71" s="124">
        <f t="shared" si="26"/>
        <v>0</v>
      </c>
      <c r="F71" s="24">
        <f t="shared" si="27"/>
        <v>1</v>
      </c>
      <c r="H71" s="124">
        <f>ROUND((SUMIF('2021 Detail'!$AE:$AE,$A71,'2021 Detail'!G:G)),0)</f>
        <v>68595</v>
      </c>
      <c r="I71" s="124">
        <f>ROUND((SUMIF('2022 detail'!$AE:$AE,$A71,'2022 detail'!AH:AH)),0)</f>
        <v>68595</v>
      </c>
      <c r="J71" s="124">
        <f t="shared" si="28"/>
        <v>0</v>
      </c>
      <c r="K71" s="24">
        <f t="shared" si="29"/>
        <v>1</v>
      </c>
      <c r="N71" s="136"/>
      <c r="O71" s="136"/>
      <c r="Q71" s="139"/>
      <c r="R71" s="139"/>
    </row>
    <row r="72" spans="1:18" x14ac:dyDescent="0.2">
      <c r="A72" s="84" t="s">
        <v>423</v>
      </c>
      <c r="B72" s="84" t="s">
        <v>927</v>
      </c>
      <c r="C72" s="124">
        <f>ROUND((SUMIF('2022 detail'!$AE:$AE,$A72,'2022 detail'!G:G)),0)</f>
        <v>97867</v>
      </c>
      <c r="D72" s="124">
        <f>ROUND((SUMIF('2022 detail'!$AE:$AE,$A72,'2022 detail'!H:H)),0)</f>
        <v>94467</v>
      </c>
      <c r="E72" s="124">
        <f t="shared" si="26"/>
        <v>3400</v>
      </c>
      <c r="F72" s="24">
        <f t="shared" si="27"/>
        <v>0.96530000000000005</v>
      </c>
      <c r="H72" s="124">
        <f>ROUND((SUMIF('2021 Detail'!$AE:$AE,$A72,'2021 Detail'!G:G)),0)</f>
        <v>97867</v>
      </c>
      <c r="I72" s="124">
        <f>ROUND((SUMIF('2022 detail'!$AE:$AE,$A72,'2022 detail'!AH:AH)),0)</f>
        <v>89292</v>
      </c>
      <c r="J72" s="124">
        <f t="shared" si="28"/>
        <v>8575</v>
      </c>
      <c r="K72" s="24">
        <f t="shared" si="29"/>
        <v>0.91239999999999999</v>
      </c>
      <c r="N72" s="136"/>
      <c r="O72" s="136"/>
      <c r="Q72" s="139"/>
      <c r="R72" s="139"/>
    </row>
    <row r="73" spans="1:18" x14ac:dyDescent="0.2">
      <c r="A73" s="84" t="s">
        <v>424</v>
      </c>
      <c r="B73" s="84" t="s">
        <v>928</v>
      </c>
      <c r="C73" s="124">
        <f>ROUND((SUMIF('2022 detail'!$AE:$AE,$A73,'2022 detail'!G:G)),0)</f>
        <v>72360</v>
      </c>
      <c r="D73" s="124">
        <f>ROUND((SUMIF('2022 detail'!$AE:$AE,$A73,'2022 detail'!H:H)),0)</f>
        <v>60327</v>
      </c>
      <c r="E73" s="124">
        <f t="shared" si="26"/>
        <v>12033</v>
      </c>
      <c r="F73" s="24">
        <f t="shared" si="27"/>
        <v>0.8337</v>
      </c>
      <c r="H73" s="124">
        <f>ROUND((SUMIF('2021 Detail'!$AE:$AE,$A73,'2021 Detail'!G:G)),0)</f>
        <v>72359</v>
      </c>
      <c r="I73" s="124">
        <f>ROUND((SUMIF('2022 detail'!$AE:$AE,$A73,'2022 detail'!AH:AH)),0)</f>
        <v>56064</v>
      </c>
      <c r="J73" s="124">
        <f t="shared" si="28"/>
        <v>16295</v>
      </c>
      <c r="K73" s="24">
        <f t="shared" si="29"/>
        <v>0.77480000000000004</v>
      </c>
      <c r="N73" s="136"/>
      <c r="O73" s="136"/>
      <c r="Q73" s="139"/>
      <c r="R73" s="139"/>
    </row>
    <row r="74" spans="1:18" x14ac:dyDescent="0.2">
      <c r="A74" s="84" t="s">
        <v>425</v>
      </c>
      <c r="B74" s="84" t="s">
        <v>929</v>
      </c>
      <c r="C74" s="124">
        <f>ROUND((SUMIF('2022 detail'!$AE:$AE,$A74,'2022 detail'!G:G)),0)</f>
        <v>63897</v>
      </c>
      <c r="D74" s="124">
        <f>ROUND((SUMIF('2022 detail'!$AE:$AE,$A74,'2022 detail'!H:H)),0)</f>
        <v>13000</v>
      </c>
      <c r="E74" s="124">
        <f t="shared" si="26"/>
        <v>50897</v>
      </c>
      <c r="F74" s="24">
        <f t="shared" si="27"/>
        <v>0.20349999999999999</v>
      </c>
      <c r="H74" s="124">
        <f>ROUND((SUMIF('2021 Detail'!$AE:$AE,$A74,'2021 Detail'!G:G)),0)</f>
        <v>63897</v>
      </c>
      <c r="I74" s="124">
        <f>ROUND((SUMIF('2022 detail'!$AE:$AE,$A74,'2022 detail'!AH:AH)),0)</f>
        <v>15000</v>
      </c>
      <c r="J74" s="124">
        <f t="shared" si="28"/>
        <v>48897</v>
      </c>
      <c r="K74" s="24">
        <f t="shared" si="29"/>
        <v>0.23480000000000001</v>
      </c>
      <c r="N74" s="136"/>
      <c r="O74" s="136"/>
      <c r="Q74" s="139"/>
      <c r="R74" s="139"/>
    </row>
    <row r="75" spans="1:18" x14ac:dyDescent="0.2">
      <c r="A75" s="84" t="s">
        <v>426</v>
      </c>
      <c r="B75" s="84" t="s">
        <v>930</v>
      </c>
      <c r="C75" s="124">
        <f>ROUND((SUMIF('2022 detail'!$AE:$AE,$A75,'2022 detail'!G:G)),0)</f>
        <v>46093</v>
      </c>
      <c r="D75" s="124">
        <f>ROUND((SUMIF('2022 detail'!$AE:$AE,$A75,'2022 detail'!H:H)),0)</f>
        <v>46093</v>
      </c>
      <c r="E75" s="124">
        <f t="shared" si="26"/>
        <v>0</v>
      </c>
      <c r="F75" s="24">
        <f t="shared" si="27"/>
        <v>1</v>
      </c>
      <c r="H75" s="124">
        <f>ROUND((SUMIF('2021 Detail'!$AE:$AE,$A75,'2021 Detail'!G:G)),0)</f>
        <v>46093</v>
      </c>
      <c r="I75" s="124">
        <f>ROUND((SUMIF('2022 detail'!$AE:$AE,$A75,'2022 detail'!AH:AH)),0)</f>
        <v>46093</v>
      </c>
      <c r="J75" s="124">
        <f t="shared" si="28"/>
        <v>0</v>
      </c>
      <c r="K75" s="24">
        <f t="shared" si="29"/>
        <v>1</v>
      </c>
      <c r="N75" s="136"/>
      <c r="O75" s="136"/>
      <c r="Q75" s="139"/>
      <c r="R75" s="139"/>
    </row>
    <row r="76" spans="1:18" x14ac:dyDescent="0.2">
      <c r="B76" s="84"/>
      <c r="C76" s="130">
        <f>SUM(C67:C75)</f>
        <v>591370</v>
      </c>
      <c r="D76" s="130">
        <f t="shared" ref="D76:E76" si="30">SUM(D67:D75)</f>
        <v>451202</v>
      </c>
      <c r="E76" s="130">
        <f t="shared" si="30"/>
        <v>140168</v>
      </c>
      <c r="F76" s="131">
        <f t="shared" si="27"/>
        <v>0.76300000000000001</v>
      </c>
      <c r="G76" s="132"/>
      <c r="H76" s="130">
        <f>SUM(H67:H75)</f>
        <v>591261</v>
      </c>
      <c r="I76" s="130">
        <f t="shared" ref="I76" si="31">SUM(I67:I75)</f>
        <v>447029</v>
      </c>
      <c r="J76" s="130">
        <f t="shared" ref="J76" si="32">SUM(J67:J75)</f>
        <v>144232</v>
      </c>
      <c r="K76" s="131">
        <f t="shared" si="29"/>
        <v>0.75609999999999999</v>
      </c>
      <c r="N76" s="136">
        <f>COUNTIFS(F67:F75,"=1")</f>
        <v>2</v>
      </c>
      <c r="O76" s="136">
        <f>COUNTIFS(K67:K75,"=1")</f>
        <v>2</v>
      </c>
      <c r="Q76" s="139">
        <f>COUNTIFS(F67:F75,"&gt;1")</f>
        <v>0</v>
      </c>
      <c r="R76" s="139">
        <f>COUNTIFS(K67:K75,"&gt;1")</f>
        <v>0</v>
      </c>
    </row>
    <row r="77" spans="1:18" x14ac:dyDescent="0.2">
      <c r="B77" s="84"/>
      <c r="N77" s="136"/>
      <c r="O77" s="136"/>
      <c r="Q77" s="139"/>
      <c r="R77" s="139"/>
    </row>
    <row r="78" spans="1:18" x14ac:dyDescent="0.2">
      <c r="B78" s="84" t="s">
        <v>931</v>
      </c>
      <c r="N78" s="136"/>
      <c r="O78" s="136"/>
      <c r="Q78" s="139"/>
      <c r="R78" s="139"/>
    </row>
    <row r="79" spans="1:18" ht="15.75" x14ac:dyDescent="0.25">
      <c r="B79" s="85"/>
      <c r="N79" s="136"/>
      <c r="O79" s="136"/>
      <c r="Q79" s="139"/>
      <c r="R79" s="139"/>
    </row>
    <row r="80" spans="1:18" x14ac:dyDescent="0.2">
      <c r="A80" s="84" t="s">
        <v>428</v>
      </c>
      <c r="B80" s="84" t="s">
        <v>932</v>
      </c>
      <c r="C80" s="124">
        <f>ROUND((SUMIF('2022 detail'!$AE:$AE,$A80,'2022 detail'!G:G)),0)</f>
        <v>69606</v>
      </c>
      <c r="D80" s="124">
        <f>ROUND((SUMIF('2022 detail'!$AE:$AE,$A80,'2022 detail'!H:H)),0)</f>
        <v>69606</v>
      </c>
      <c r="E80" s="124">
        <f>ROUND((C80-D80),0)</f>
        <v>0</v>
      </c>
      <c r="F80" s="24">
        <f>ROUND((D80/C80),4)</f>
        <v>1</v>
      </c>
      <c r="H80" s="124">
        <f>ROUND((SUMIF('2021 Detail'!$AE:$AE,$A80,'2021 Detail'!G:G)),0)</f>
        <v>69605</v>
      </c>
      <c r="I80" s="124">
        <f>ROUND((SUMIF('2022 detail'!$AE:$AE,$A80,'2022 detail'!AH:AH)),0)</f>
        <v>50000</v>
      </c>
      <c r="J80" s="124">
        <f>ROUND((H80-I80),0)</f>
        <v>19605</v>
      </c>
      <c r="K80" s="24">
        <f>ROUND((I80/H80),4)</f>
        <v>0.71830000000000005</v>
      </c>
      <c r="N80" s="136"/>
      <c r="O80" s="136"/>
      <c r="Q80" s="139"/>
      <c r="R80" s="139"/>
    </row>
    <row r="81" spans="1:18" x14ac:dyDescent="0.2">
      <c r="A81" s="84" t="s">
        <v>429</v>
      </c>
      <c r="B81" s="84" t="s">
        <v>933</v>
      </c>
      <c r="C81" s="124">
        <f>ROUND((SUMIF('2022 detail'!$AE:$AE,$A81,'2022 detail'!G:G)),0)</f>
        <v>70189</v>
      </c>
      <c r="D81" s="124">
        <f>ROUND((SUMIF('2022 detail'!$AE:$AE,$A81,'2022 detail'!H:H)),0)</f>
        <v>63941</v>
      </c>
      <c r="E81" s="124">
        <f t="shared" ref="E81:E92" si="33">ROUND((C81-D81),0)</f>
        <v>6248</v>
      </c>
      <c r="F81" s="24">
        <f t="shared" ref="F81:F93" si="34">ROUND((D81/C81),4)</f>
        <v>0.91100000000000003</v>
      </c>
      <c r="H81" s="124">
        <f>ROUND((SUMIF('2021 Detail'!$AE:$AE,$A81,'2021 Detail'!G:G)),0)</f>
        <v>70188</v>
      </c>
      <c r="I81" s="124">
        <f>ROUND((SUMIF('2022 detail'!$AE:$AE,$A81,'2022 detail'!AH:AH)),0)</f>
        <v>63192</v>
      </c>
      <c r="J81" s="124">
        <f t="shared" ref="J81:J92" si="35">ROUND((H81-I81),0)</f>
        <v>6996</v>
      </c>
      <c r="K81" s="24">
        <f t="shared" ref="K81:K93" si="36">ROUND((I81/H81),4)</f>
        <v>0.90029999999999999</v>
      </c>
      <c r="N81" s="136"/>
      <c r="O81" s="136"/>
      <c r="Q81" s="139"/>
      <c r="R81" s="139"/>
    </row>
    <row r="82" spans="1:18" x14ac:dyDescent="0.2">
      <c r="A82" s="84" t="s">
        <v>430</v>
      </c>
      <c r="B82" s="84" t="s">
        <v>934</v>
      </c>
      <c r="C82" s="124">
        <f>ROUND((SUMIF('2022 detail'!$AE:$AE,$A82,'2022 detail'!G:G)),0)</f>
        <v>74411</v>
      </c>
      <c r="D82" s="124">
        <f>ROUND((SUMIF('2022 detail'!$AE:$AE,$A82,'2022 detail'!H:H)),0)</f>
        <v>34150</v>
      </c>
      <c r="E82" s="124">
        <f t="shared" si="33"/>
        <v>40261</v>
      </c>
      <c r="F82" s="24">
        <f t="shared" si="34"/>
        <v>0.45889999999999997</v>
      </c>
      <c r="H82" s="124">
        <f>ROUND((SUMIF('2021 Detail'!$AE:$AE,$A82,'2021 Detail'!G:G)),0)</f>
        <v>74411</v>
      </c>
      <c r="I82" s="124">
        <f>ROUND((SUMIF('2022 detail'!$AE:$AE,$A82,'2022 detail'!AH:AH)),0)</f>
        <v>39012</v>
      </c>
      <c r="J82" s="124">
        <f t="shared" si="35"/>
        <v>35399</v>
      </c>
      <c r="K82" s="24">
        <f t="shared" si="36"/>
        <v>0.52429999999999999</v>
      </c>
      <c r="N82" s="136"/>
      <c r="O82" s="136"/>
      <c r="Q82" s="139"/>
      <c r="R82" s="139"/>
    </row>
    <row r="83" spans="1:18" x14ac:dyDescent="0.2">
      <c r="A83" s="84" t="s">
        <v>431</v>
      </c>
      <c r="B83" s="84" t="s">
        <v>935</v>
      </c>
      <c r="C83" s="124">
        <f>ROUND((SUMIF('2022 detail'!$AE:$AE,$A83,'2022 detail'!G:G)),0)</f>
        <v>25304</v>
      </c>
      <c r="D83" s="124">
        <f>ROUND((SUMIF('2022 detail'!$AE:$AE,$A83,'2022 detail'!H:H)),0)</f>
        <v>25304</v>
      </c>
      <c r="E83" s="124">
        <f t="shared" si="33"/>
        <v>0</v>
      </c>
      <c r="F83" s="24">
        <f t="shared" si="34"/>
        <v>1</v>
      </c>
      <c r="H83" s="124">
        <f>ROUND((SUMIF('2021 Detail'!$AE:$AE,$A83,'2021 Detail'!G:G)),0)</f>
        <v>25304</v>
      </c>
      <c r="I83" s="124">
        <f>ROUND((SUMIF('2022 detail'!$AE:$AE,$A83,'2022 detail'!AH:AH)),0)</f>
        <v>25304</v>
      </c>
      <c r="J83" s="124">
        <f t="shared" si="35"/>
        <v>0</v>
      </c>
      <c r="K83" s="24">
        <f t="shared" si="36"/>
        <v>1</v>
      </c>
      <c r="N83" s="136"/>
      <c r="O83" s="136"/>
      <c r="Q83" s="139"/>
      <c r="R83" s="139"/>
    </row>
    <row r="84" spans="1:18" x14ac:dyDescent="0.2">
      <c r="A84" s="84" t="s">
        <v>432</v>
      </c>
      <c r="B84" s="84" t="s">
        <v>936</v>
      </c>
      <c r="C84" s="124">
        <f>ROUND((SUMIF('2022 detail'!$AE:$AE,$A84,'2022 detail'!G:G)),0)</f>
        <v>69781</v>
      </c>
      <c r="D84" s="124">
        <f>ROUND((SUMIF('2022 detail'!$AE:$AE,$A84,'2022 detail'!H:H)),0)</f>
        <v>61500</v>
      </c>
      <c r="E84" s="124">
        <f t="shared" si="33"/>
        <v>8281</v>
      </c>
      <c r="F84" s="24">
        <f t="shared" si="34"/>
        <v>0.88129999999999997</v>
      </c>
      <c r="H84" s="124">
        <f>ROUND((SUMIF('2021 Detail'!$AE:$AE,$A84,'2021 Detail'!G:G)),0)</f>
        <v>69780</v>
      </c>
      <c r="I84" s="124">
        <f>ROUND((SUMIF('2022 detail'!$AE:$AE,$A84,'2022 detail'!AH:AH)),0)</f>
        <v>65315</v>
      </c>
      <c r="J84" s="124">
        <f t="shared" si="35"/>
        <v>4465</v>
      </c>
      <c r="K84" s="24">
        <f t="shared" si="36"/>
        <v>0.93600000000000005</v>
      </c>
      <c r="N84" s="136"/>
      <c r="O84" s="136"/>
      <c r="Q84" s="139"/>
      <c r="R84" s="139"/>
    </row>
    <row r="85" spans="1:18" x14ac:dyDescent="0.2">
      <c r="A85" s="84" t="s">
        <v>433</v>
      </c>
      <c r="B85" s="84" t="s">
        <v>937</v>
      </c>
      <c r="C85" s="124">
        <f>ROUND((SUMIF('2022 detail'!$AE:$AE,$A85,'2022 detail'!G:G)),0)</f>
        <v>69717</v>
      </c>
      <c r="D85" s="124">
        <f>ROUND((SUMIF('2022 detail'!$AE:$AE,$A85,'2022 detail'!H:H)),0)</f>
        <v>46685</v>
      </c>
      <c r="E85" s="124">
        <f t="shared" si="33"/>
        <v>23032</v>
      </c>
      <c r="F85" s="24">
        <f t="shared" si="34"/>
        <v>0.66959999999999997</v>
      </c>
      <c r="H85" s="124">
        <f>ROUND((SUMIF('2021 Detail'!$AE:$AE,$A85,'2021 Detail'!G:G)),0)</f>
        <v>69717</v>
      </c>
      <c r="I85" s="124">
        <f>ROUND((SUMIF('2022 detail'!$AE:$AE,$A85,'2022 detail'!AH:AH)),0)</f>
        <v>47000</v>
      </c>
      <c r="J85" s="124">
        <f t="shared" si="35"/>
        <v>22717</v>
      </c>
      <c r="K85" s="24">
        <f t="shared" si="36"/>
        <v>0.67420000000000002</v>
      </c>
      <c r="N85" s="136"/>
      <c r="O85" s="136"/>
      <c r="Q85" s="139"/>
      <c r="R85" s="139"/>
    </row>
    <row r="86" spans="1:18" x14ac:dyDescent="0.2">
      <c r="A86" s="84" t="s">
        <v>434</v>
      </c>
      <c r="B86" s="84" t="s">
        <v>938</v>
      </c>
      <c r="C86" s="124">
        <f>ROUND((SUMIF('2022 detail'!$AE:$AE,$A86,'2022 detail'!G:G)),0)</f>
        <v>44155</v>
      </c>
      <c r="D86" s="124">
        <f>ROUND((SUMIF('2022 detail'!$AE:$AE,$A86,'2022 detail'!H:H)),0)</f>
        <v>16000</v>
      </c>
      <c r="E86" s="124">
        <f t="shared" si="33"/>
        <v>28155</v>
      </c>
      <c r="F86" s="24">
        <f t="shared" si="34"/>
        <v>0.3624</v>
      </c>
      <c r="H86" s="124">
        <f>ROUND((SUMIF('2021 Detail'!$AE:$AE,$A86,'2021 Detail'!G:G)),0)</f>
        <v>44154</v>
      </c>
      <c r="I86" s="124">
        <f>ROUND((SUMIF('2022 detail'!$AE:$AE,$A86,'2022 detail'!AH:AH)),0)</f>
        <v>21000</v>
      </c>
      <c r="J86" s="124">
        <f t="shared" si="35"/>
        <v>23154</v>
      </c>
      <c r="K86" s="24">
        <f t="shared" si="36"/>
        <v>0.47560000000000002</v>
      </c>
      <c r="N86" s="136"/>
      <c r="O86" s="136"/>
      <c r="Q86" s="139"/>
      <c r="R86" s="139"/>
    </row>
    <row r="87" spans="1:18" x14ac:dyDescent="0.2">
      <c r="A87" s="84" t="s">
        <v>435</v>
      </c>
      <c r="B87" s="84" t="s">
        <v>939</v>
      </c>
      <c r="C87" s="124">
        <f>ROUND((SUMIF('2022 detail'!$AE:$AE,$A87,'2022 detail'!G:G)),0)</f>
        <v>43757</v>
      </c>
      <c r="D87" s="124">
        <f>ROUND((SUMIF('2022 detail'!$AE:$AE,$A87,'2022 detail'!H:H)),0)</f>
        <v>30000</v>
      </c>
      <c r="E87" s="124">
        <f t="shared" si="33"/>
        <v>13757</v>
      </c>
      <c r="F87" s="24">
        <f t="shared" si="34"/>
        <v>0.68559999999999999</v>
      </c>
      <c r="H87" s="124">
        <f>ROUND((SUMIF('2021 Detail'!$AE:$AE,$A87,'2021 Detail'!G:G)),0)</f>
        <v>43756</v>
      </c>
      <c r="I87" s="124">
        <f>ROUND((SUMIF('2022 detail'!$AE:$AE,$A87,'2022 detail'!AH:AH)),0)</f>
        <v>26000</v>
      </c>
      <c r="J87" s="124">
        <f t="shared" si="35"/>
        <v>17756</v>
      </c>
      <c r="K87" s="24">
        <f t="shared" si="36"/>
        <v>0.59419999999999995</v>
      </c>
      <c r="N87" s="136"/>
      <c r="O87" s="136"/>
      <c r="Q87" s="139"/>
      <c r="R87" s="139"/>
    </row>
    <row r="88" spans="1:18" x14ac:dyDescent="0.2">
      <c r="A88" s="84" t="s">
        <v>436</v>
      </c>
      <c r="B88" s="84" t="s">
        <v>940</v>
      </c>
      <c r="C88" s="124">
        <f>ROUND((SUMIF('2022 detail'!$AE:$AE,$A88,'2022 detail'!G:G)),0)</f>
        <v>62275</v>
      </c>
      <c r="D88" s="124">
        <f>ROUND((SUMIF('2022 detail'!$AE:$AE,$A88,'2022 detail'!H:H)),0)</f>
        <v>47000</v>
      </c>
      <c r="E88" s="124">
        <f t="shared" si="33"/>
        <v>15275</v>
      </c>
      <c r="F88" s="24">
        <f t="shared" si="34"/>
        <v>0.75470000000000004</v>
      </c>
      <c r="H88" s="124">
        <f>ROUND((SUMIF('2021 Detail'!$AE:$AE,$A88,'2021 Detail'!G:G)),0)</f>
        <v>62275</v>
      </c>
      <c r="I88" s="124">
        <f>ROUND((SUMIF('2022 detail'!$AE:$AE,$A88,'2022 detail'!AH:AH)),0)</f>
        <v>46000</v>
      </c>
      <c r="J88" s="124">
        <f t="shared" si="35"/>
        <v>16275</v>
      </c>
      <c r="K88" s="24">
        <f t="shared" si="36"/>
        <v>0.73870000000000002</v>
      </c>
      <c r="N88" s="136"/>
      <c r="O88" s="136"/>
      <c r="Q88" s="139"/>
      <c r="R88" s="139"/>
    </row>
    <row r="89" spans="1:18" x14ac:dyDescent="0.2">
      <c r="A89" s="84" t="s">
        <v>437</v>
      </c>
      <c r="B89" s="84" t="s">
        <v>941</v>
      </c>
      <c r="C89" s="124">
        <f>ROUND((SUMIF('2022 detail'!$AE:$AE,$A89,'2022 detail'!G:G)),0)</f>
        <v>79719</v>
      </c>
      <c r="D89" s="124">
        <f>ROUND((SUMIF('2022 detail'!$AE:$AE,$A89,'2022 detail'!H:H)),0)</f>
        <v>70417</v>
      </c>
      <c r="E89" s="124">
        <f t="shared" si="33"/>
        <v>9302</v>
      </c>
      <c r="F89" s="24">
        <f t="shared" si="34"/>
        <v>0.88329999999999997</v>
      </c>
      <c r="H89" s="124">
        <f>ROUND((SUMIF('2021 Detail'!$AE:$AE,$A89,'2021 Detail'!G:G)),0)</f>
        <v>79719</v>
      </c>
      <c r="I89" s="124">
        <f>ROUND((SUMIF('2022 detail'!$AE:$AE,$A89,'2022 detail'!AH:AH)),0)</f>
        <v>66917</v>
      </c>
      <c r="J89" s="124">
        <f t="shared" si="35"/>
        <v>12802</v>
      </c>
      <c r="K89" s="24">
        <f t="shared" si="36"/>
        <v>0.83940000000000003</v>
      </c>
      <c r="N89" s="136"/>
      <c r="O89" s="136"/>
      <c r="Q89" s="139"/>
      <c r="R89" s="139"/>
    </row>
    <row r="90" spans="1:18" x14ac:dyDescent="0.2">
      <c r="A90" s="84" t="s">
        <v>438</v>
      </c>
      <c r="B90" s="84" t="s">
        <v>942</v>
      </c>
      <c r="C90" s="124">
        <f>ROUND((SUMIF('2022 detail'!$AE:$AE,$A90,'2022 detail'!G:G)),0)</f>
        <v>70215</v>
      </c>
      <c r="D90" s="124">
        <f>ROUND((SUMIF('2022 detail'!$AE:$AE,$A90,'2022 detail'!H:H)),0)</f>
        <v>52749</v>
      </c>
      <c r="E90" s="124">
        <f t="shared" si="33"/>
        <v>17466</v>
      </c>
      <c r="F90" s="24">
        <f t="shared" si="34"/>
        <v>0.75119999999999998</v>
      </c>
      <c r="H90" s="124">
        <f>ROUND((SUMIF('2021 Detail'!$AE:$AE,$A90,'2021 Detail'!G:G)),0)</f>
        <v>70215</v>
      </c>
      <c r="I90" s="124">
        <f>ROUND((SUMIF('2022 detail'!$AE:$AE,$A90,'2022 detail'!AH:AH)),0)</f>
        <v>60769</v>
      </c>
      <c r="J90" s="124">
        <f t="shared" si="35"/>
        <v>9446</v>
      </c>
      <c r="K90" s="24">
        <f t="shared" si="36"/>
        <v>0.86550000000000005</v>
      </c>
      <c r="N90" s="136"/>
      <c r="O90" s="136"/>
      <c r="Q90" s="139"/>
      <c r="R90" s="139"/>
    </row>
    <row r="91" spans="1:18" x14ac:dyDescent="0.2">
      <c r="A91" s="84" t="s">
        <v>439</v>
      </c>
      <c r="B91" s="84" t="s">
        <v>943</v>
      </c>
      <c r="C91" s="124">
        <f>ROUND((SUMIF('2022 detail'!$AE:$AE,$A91,'2022 detail'!G:G)),0)</f>
        <v>67325</v>
      </c>
      <c r="D91" s="124">
        <f>ROUND((SUMIF('2022 detail'!$AE:$AE,$A91,'2022 detail'!H:H)),0)</f>
        <v>51139</v>
      </c>
      <c r="E91" s="124">
        <f t="shared" si="33"/>
        <v>16186</v>
      </c>
      <c r="F91" s="24">
        <f t="shared" si="34"/>
        <v>0.75960000000000005</v>
      </c>
      <c r="H91" s="124">
        <f>ROUND((SUMIF('2021 Detail'!$AE:$AE,$A91,'2021 Detail'!G:G)),0)</f>
        <v>67326</v>
      </c>
      <c r="I91" s="124">
        <f>ROUND((SUMIF('2022 detail'!$AE:$AE,$A91,'2022 detail'!AH:AH)),0)</f>
        <v>38436</v>
      </c>
      <c r="J91" s="124">
        <f t="shared" si="35"/>
        <v>28890</v>
      </c>
      <c r="K91" s="24">
        <f t="shared" si="36"/>
        <v>0.57089999999999996</v>
      </c>
      <c r="N91" s="136"/>
      <c r="O91" s="136"/>
      <c r="Q91" s="139"/>
      <c r="R91" s="139"/>
    </row>
    <row r="92" spans="1:18" x14ac:dyDescent="0.2">
      <c r="A92" s="84" t="s">
        <v>440</v>
      </c>
      <c r="B92" s="84" t="s">
        <v>944</v>
      </c>
      <c r="C92" s="124">
        <f>ROUND((SUMIF('2022 detail'!$AE:$AE,$A92,'2022 detail'!G:G)),0)</f>
        <v>27039</v>
      </c>
      <c r="D92" s="124">
        <f>ROUND((SUMIF('2022 detail'!$AE:$AE,$A92,'2022 detail'!H:H)),0)</f>
        <v>23679</v>
      </c>
      <c r="E92" s="124">
        <f t="shared" si="33"/>
        <v>3360</v>
      </c>
      <c r="F92" s="24">
        <f t="shared" si="34"/>
        <v>0.87570000000000003</v>
      </c>
      <c r="H92" s="124">
        <f>ROUND((SUMIF('2021 Detail'!$AE:$AE,$A92,'2021 Detail'!G:G)),0)</f>
        <v>27038</v>
      </c>
      <c r="I92" s="124">
        <f>ROUND((SUMIF('2022 detail'!$AE:$AE,$A92,'2022 detail'!AH:AH)),0)</f>
        <v>28539</v>
      </c>
      <c r="J92" s="124">
        <f t="shared" si="35"/>
        <v>-1501</v>
      </c>
      <c r="K92" s="24">
        <f t="shared" si="36"/>
        <v>1.0555000000000001</v>
      </c>
      <c r="N92" s="136"/>
      <c r="O92" s="136"/>
      <c r="Q92" s="139"/>
      <c r="R92" s="139"/>
    </row>
    <row r="93" spans="1:18" ht="15.75" x14ac:dyDescent="0.25">
      <c r="B93" s="85"/>
      <c r="C93" s="130">
        <f>SUM(C80:C92)</f>
        <v>773493</v>
      </c>
      <c r="D93" s="130">
        <f t="shared" ref="D93:E93" si="37">SUM(D80:D92)</f>
        <v>592170</v>
      </c>
      <c r="E93" s="130">
        <f t="shared" si="37"/>
        <v>181323</v>
      </c>
      <c r="F93" s="131">
        <f t="shared" si="34"/>
        <v>0.76559999999999995</v>
      </c>
      <c r="G93" s="132"/>
      <c r="H93" s="130">
        <f>SUM(H80:H92)</f>
        <v>773488</v>
      </c>
      <c r="I93" s="130">
        <f t="shared" ref="I93" si="38">SUM(I80:I92)</f>
        <v>577484</v>
      </c>
      <c r="J93" s="130">
        <f t="shared" ref="J93" si="39">SUM(J80:J92)</f>
        <v>196004</v>
      </c>
      <c r="K93" s="131">
        <f t="shared" si="36"/>
        <v>0.74660000000000004</v>
      </c>
      <c r="N93" s="136">
        <f>COUNTIFS(F80:F92,"=1")</f>
        <v>2</v>
      </c>
      <c r="O93" s="136">
        <f>COUNTIFS(K80:K92,"=1")</f>
        <v>1</v>
      </c>
      <c r="Q93" s="139">
        <f>COUNTIFS(F80:F92,"&gt;1")</f>
        <v>0</v>
      </c>
      <c r="R93" s="139">
        <f>COUNTIFS(K80:K92,"&gt;1")</f>
        <v>1</v>
      </c>
    </row>
    <row r="94" spans="1:18" ht="15.75" x14ac:dyDescent="0.25">
      <c r="B94" s="85"/>
      <c r="N94" s="136"/>
      <c r="O94" s="136"/>
      <c r="Q94" s="139"/>
      <c r="R94" s="139"/>
    </row>
    <row r="95" spans="1:18" ht="15.75" x14ac:dyDescent="0.25">
      <c r="B95" s="85"/>
      <c r="N95" s="136"/>
      <c r="O95" s="136"/>
      <c r="Q95" s="139"/>
      <c r="R95" s="139"/>
    </row>
    <row r="96" spans="1:18" ht="15.75" x14ac:dyDescent="0.25">
      <c r="B96" s="85"/>
      <c r="N96" s="136"/>
      <c r="O96" s="136"/>
      <c r="Q96" s="139"/>
      <c r="R96" s="139"/>
    </row>
    <row r="97" spans="1:18" ht="15.75" x14ac:dyDescent="0.25">
      <c r="B97" s="85"/>
      <c r="N97" s="136"/>
      <c r="O97" s="136"/>
      <c r="Q97" s="139"/>
      <c r="R97" s="139"/>
    </row>
    <row r="98" spans="1:18" x14ac:dyDescent="0.2">
      <c r="B98" s="84" t="s">
        <v>1009</v>
      </c>
      <c r="C98" s="124">
        <f>C13+C26+C38+C63+C76+C93</f>
        <v>4300759</v>
      </c>
      <c r="D98" s="124">
        <f>D13+D26+D38+D63+D76+D93</f>
        <v>3253563</v>
      </c>
      <c r="E98" s="124">
        <f>ROUND((C98-D98),0)</f>
        <v>1047196</v>
      </c>
      <c r="F98" s="24">
        <f>ROUND((D98/C98),4)</f>
        <v>0.75649999999999995</v>
      </c>
      <c r="H98" s="124">
        <f>H13+H26+H38+H63+H76+H93</f>
        <v>4312078</v>
      </c>
      <c r="I98" s="124">
        <f>I13+I26+I38+I63+I76+I93</f>
        <v>3204761</v>
      </c>
      <c r="J98" s="124">
        <f>ROUND((H98-I98),0)</f>
        <v>1107317</v>
      </c>
      <c r="K98" s="24">
        <f>ROUND((I98/H98),4)</f>
        <v>0.74319999999999997</v>
      </c>
      <c r="N98" s="137">
        <f>N13+N26+N38+N63+N76+N93</f>
        <v>14</v>
      </c>
      <c r="O98" s="137">
        <f>O13+O26+O38+O63+O76+O93</f>
        <v>12</v>
      </c>
      <c r="Q98" s="140">
        <f>Q13+Q26+Q38+Q63+Q76+Q93</f>
        <v>1</v>
      </c>
      <c r="R98" s="140">
        <f>R13+R26+R38+R63+R76+R93</f>
        <v>2</v>
      </c>
    </row>
    <row r="99" spans="1:18" ht="15.75" x14ac:dyDescent="0.25">
      <c r="B99" s="85"/>
      <c r="F99" s="24"/>
      <c r="K99" s="24"/>
      <c r="N99" s="136"/>
      <c r="O99" s="136"/>
      <c r="Q99" s="139"/>
      <c r="R99" s="139"/>
    </row>
    <row r="100" spans="1:18" ht="15.75" x14ac:dyDescent="0.25">
      <c r="B100" s="85"/>
      <c r="F100" s="24"/>
      <c r="K100" s="24"/>
      <c r="N100" s="136"/>
      <c r="O100" s="136"/>
      <c r="Q100" s="139"/>
      <c r="R100" s="139"/>
    </row>
    <row r="101" spans="1:18" ht="15.75" x14ac:dyDescent="0.25">
      <c r="B101" s="85" t="str">
        <f>B189</f>
        <v>Diocesan Total</v>
      </c>
      <c r="C101" s="295">
        <f>C189</f>
        <v>8116012</v>
      </c>
      <c r="D101" s="295">
        <f t="shared" ref="D101:E101" si="40">D189</f>
        <v>6559279</v>
      </c>
      <c r="E101" s="295">
        <f t="shared" si="40"/>
        <v>1556733</v>
      </c>
      <c r="F101" s="296">
        <f t="shared" ref="F101" si="41">ROUND((D101/C101),4)</f>
        <v>0.80820000000000003</v>
      </c>
      <c r="G101" s="297"/>
      <c r="H101" s="295">
        <f>H189</f>
        <v>8132853</v>
      </c>
      <c r="I101" s="295">
        <f t="shared" ref="I101:J101" si="42">I189</f>
        <v>6587994</v>
      </c>
      <c r="J101" s="295">
        <f t="shared" si="42"/>
        <v>1544859</v>
      </c>
      <c r="K101" s="296">
        <f t="shared" ref="K101" si="43">ROUND((I101/H101),4)</f>
        <v>0.81</v>
      </c>
      <c r="N101" s="136"/>
      <c r="O101" s="136"/>
      <c r="Q101" s="139"/>
      <c r="R101" s="139"/>
    </row>
    <row r="102" spans="1:18" ht="15.75" x14ac:dyDescent="0.25">
      <c r="B102" s="85"/>
      <c r="N102" s="136"/>
      <c r="O102" s="136"/>
      <c r="Q102" s="139"/>
      <c r="R102" s="139"/>
    </row>
    <row r="103" spans="1:18" ht="15.75" x14ac:dyDescent="0.25">
      <c r="B103" s="85"/>
      <c r="N103" s="136"/>
      <c r="O103" s="136"/>
      <c r="Q103" s="139"/>
      <c r="R103" s="139"/>
    </row>
    <row r="104" spans="1:18" ht="15.75" x14ac:dyDescent="0.25">
      <c r="B104" s="85"/>
      <c r="N104" s="136"/>
      <c r="O104" s="136"/>
      <c r="Q104" s="139"/>
      <c r="R104" s="139"/>
    </row>
    <row r="105" spans="1:18" x14ac:dyDescent="0.2">
      <c r="B105" s="84" t="s">
        <v>945</v>
      </c>
      <c r="N105" s="136"/>
      <c r="O105" s="136"/>
      <c r="Q105" s="139"/>
      <c r="R105" s="139"/>
    </row>
    <row r="106" spans="1:18" ht="15.75" x14ac:dyDescent="0.25">
      <c r="B106" s="85"/>
      <c r="N106" s="136"/>
      <c r="O106" s="136"/>
      <c r="Q106" s="139"/>
      <c r="R106" s="139"/>
    </row>
    <row r="107" spans="1:18" x14ac:dyDescent="0.2">
      <c r="A107" s="84" t="s">
        <v>441</v>
      </c>
      <c r="B107" s="84" t="s">
        <v>946</v>
      </c>
      <c r="C107" s="124">
        <f>ROUND((SUMIF('2022 detail'!$AE:$AE,$A107,'2022 detail'!G:G)),0)</f>
        <v>152796</v>
      </c>
      <c r="D107" s="124">
        <f>ROUND((SUMIF('2022 detail'!$AE:$AE,$A107,'2022 detail'!H:H)),0)</f>
        <v>152796</v>
      </c>
      <c r="E107" s="124">
        <f>ROUND((C107-D107),0)</f>
        <v>0</v>
      </c>
      <c r="F107" s="24">
        <f>ROUND((D107/C107),4)</f>
        <v>1</v>
      </c>
      <c r="H107" s="124">
        <f>ROUND((SUMIF('2021 Detail'!$AE:$AE,$A107,'2021 Detail'!G:G)),0)</f>
        <v>152796</v>
      </c>
      <c r="I107" s="124">
        <f>ROUND((SUMIF('2022 detail'!$AE:$AE,$A107,'2022 detail'!AH:AH)),0)</f>
        <v>152312</v>
      </c>
      <c r="J107" s="124">
        <f>ROUND((H107-I107),0)</f>
        <v>484</v>
      </c>
      <c r="K107" s="24">
        <f>ROUND((I107/H107),4)</f>
        <v>0.99680000000000002</v>
      </c>
      <c r="N107" s="136"/>
      <c r="O107" s="136"/>
      <c r="Q107" s="139"/>
      <c r="R107" s="139"/>
    </row>
    <row r="108" spans="1:18" x14ac:dyDescent="0.2">
      <c r="A108" s="84" t="s">
        <v>442</v>
      </c>
      <c r="B108" s="84" t="s">
        <v>947</v>
      </c>
      <c r="C108" s="124">
        <f>ROUND((SUMIF('2022 detail'!$AE:$AE,$A108,'2022 detail'!G:G)),0)</f>
        <v>65254</v>
      </c>
      <c r="D108" s="124">
        <f>ROUND((SUMIF('2022 detail'!$AE:$AE,$A108,'2022 detail'!H:H)),0)</f>
        <v>40000</v>
      </c>
      <c r="E108" s="124">
        <f t="shared" ref="E108:E117" si="44">ROUND((C108-D108),0)</f>
        <v>25254</v>
      </c>
      <c r="F108" s="24">
        <f t="shared" ref="F108:F118" si="45">ROUND((D108/C108),4)</f>
        <v>0.61299999999999999</v>
      </c>
      <c r="H108" s="124">
        <f>ROUND((SUMIF('2021 Detail'!$AE:$AE,$A108,'2021 Detail'!G:G)),0)</f>
        <v>65253</v>
      </c>
      <c r="I108" s="124">
        <f>ROUND((SUMIF('2022 detail'!$AE:$AE,$A108,'2022 detail'!AH:AH)),0)</f>
        <v>31000</v>
      </c>
      <c r="J108" s="124">
        <f t="shared" ref="J108:J117" si="46">ROUND((H108-I108),0)</f>
        <v>34253</v>
      </c>
      <c r="K108" s="24">
        <f t="shared" ref="K108:K118" si="47">ROUND((I108/H108),4)</f>
        <v>0.47510000000000002</v>
      </c>
      <c r="N108" s="136"/>
      <c r="O108" s="136"/>
      <c r="Q108" s="139"/>
      <c r="R108" s="139"/>
    </row>
    <row r="109" spans="1:18" x14ac:dyDescent="0.2">
      <c r="A109" s="84" t="s">
        <v>443</v>
      </c>
      <c r="B109" s="84" t="s">
        <v>948</v>
      </c>
      <c r="C109" s="124">
        <f>ROUND((SUMIF('2022 detail'!$AE:$AE,$A109,'2022 detail'!G:G)),0)</f>
        <v>74014</v>
      </c>
      <c r="D109" s="124">
        <f>ROUND((SUMIF('2022 detail'!$AE:$AE,$A109,'2022 detail'!H:H)),0)</f>
        <v>74014</v>
      </c>
      <c r="E109" s="124">
        <f t="shared" si="44"/>
        <v>0</v>
      </c>
      <c r="F109" s="24">
        <f t="shared" si="45"/>
        <v>1</v>
      </c>
      <c r="H109" s="124">
        <f>ROUND((SUMIF('2021 Detail'!$AE:$AE,$A109,'2021 Detail'!G:G)),0)</f>
        <v>74014</v>
      </c>
      <c r="I109" s="124">
        <f>ROUND((SUMIF('2022 detail'!$AE:$AE,$A109,'2022 detail'!AH:AH)),0)</f>
        <v>74014</v>
      </c>
      <c r="J109" s="124">
        <f t="shared" si="46"/>
        <v>0</v>
      </c>
      <c r="K109" s="24">
        <f t="shared" si="47"/>
        <v>1</v>
      </c>
      <c r="N109" s="136"/>
      <c r="O109" s="136"/>
      <c r="Q109" s="139"/>
      <c r="R109" s="139"/>
    </row>
    <row r="110" spans="1:18" x14ac:dyDescent="0.2">
      <c r="A110" s="84" t="s">
        <v>444</v>
      </c>
      <c r="B110" s="84" t="s">
        <v>949</v>
      </c>
      <c r="C110" s="124">
        <f>ROUND((SUMIF('2022 detail'!$AE:$AE,$A110,'2022 detail'!G:G)),0)</f>
        <v>27447</v>
      </c>
      <c r="D110" s="124">
        <f>ROUND((SUMIF('2022 detail'!$AE:$AE,$A110,'2022 detail'!H:H)),0)</f>
        <v>22541</v>
      </c>
      <c r="E110" s="124">
        <f t="shared" si="44"/>
        <v>4906</v>
      </c>
      <c r="F110" s="24">
        <f t="shared" si="45"/>
        <v>0.82130000000000003</v>
      </c>
      <c r="H110" s="124">
        <f>ROUND((SUMIF('2021 Detail'!$AE:$AE,$A110,'2021 Detail'!G:G)),0)</f>
        <v>27447</v>
      </c>
      <c r="I110" s="124">
        <f>ROUND((SUMIF('2022 detail'!$AE:$AE,$A110,'2022 detail'!AH:AH)),0)</f>
        <v>12344</v>
      </c>
      <c r="J110" s="124">
        <f t="shared" si="46"/>
        <v>15103</v>
      </c>
      <c r="K110" s="24">
        <f t="shared" si="47"/>
        <v>0.44969999999999999</v>
      </c>
      <c r="N110" s="136"/>
      <c r="O110" s="136"/>
      <c r="Q110" s="139"/>
      <c r="R110" s="139"/>
    </row>
    <row r="111" spans="1:18" x14ac:dyDescent="0.2">
      <c r="A111" s="84" t="s">
        <v>445</v>
      </c>
      <c r="B111" s="84" t="s">
        <v>950</v>
      </c>
      <c r="C111" s="124">
        <f>ROUND((SUMIF('2022 detail'!$AE:$AE,$A111,'2022 detail'!G:G)),0)</f>
        <v>69239</v>
      </c>
      <c r="D111" s="124">
        <f>ROUND((SUMIF('2022 detail'!$AE:$AE,$A111,'2022 detail'!H:H)),0)</f>
        <v>69239</v>
      </c>
      <c r="E111" s="124">
        <f t="shared" si="44"/>
        <v>0</v>
      </c>
      <c r="F111" s="24">
        <f t="shared" si="45"/>
        <v>1</v>
      </c>
      <c r="H111" s="124">
        <f>ROUND((SUMIF('2021 Detail'!$AE:$AE,$A111,'2021 Detail'!G:G)),0)</f>
        <v>69238</v>
      </c>
      <c r="I111" s="124">
        <f>ROUND((SUMIF('2022 detail'!$AE:$AE,$A111,'2022 detail'!AH:AH)),0)</f>
        <v>69238</v>
      </c>
      <c r="J111" s="124">
        <f t="shared" si="46"/>
        <v>0</v>
      </c>
      <c r="K111" s="24">
        <f t="shared" si="47"/>
        <v>1</v>
      </c>
      <c r="N111" s="136"/>
      <c r="O111" s="136"/>
      <c r="Q111" s="139"/>
      <c r="R111" s="139"/>
    </row>
    <row r="112" spans="1:18" x14ac:dyDescent="0.2">
      <c r="A112" s="84" t="s">
        <v>446</v>
      </c>
      <c r="B112" s="84" t="s">
        <v>951</v>
      </c>
      <c r="C112" s="124">
        <f>ROUND((SUMIF('2022 detail'!$AE:$AE,$A112,'2022 detail'!G:G)),0)</f>
        <v>66329</v>
      </c>
      <c r="D112" s="124">
        <f>ROUND((SUMIF('2022 detail'!$AE:$AE,$A112,'2022 detail'!H:H)),0)</f>
        <v>27889</v>
      </c>
      <c r="E112" s="124">
        <f t="shared" si="44"/>
        <v>38440</v>
      </c>
      <c r="F112" s="24">
        <f t="shared" si="45"/>
        <v>0.42049999999999998</v>
      </c>
      <c r="H112" s="124">
        <f>ROUND((SUMIF('2021 Detail'!$AE:$AE,$A112,'2021 Detail'!G:G)),0)</f>
        <v>66329</v>
      </c>
      <c r="I112" s="124">
        <f>ROUND((SUMIF('2022 detail'!$AE:$AE,$A112,'2022 detail'!AH:AH)),0)</f>
        <v>44042</v>
      </c>
      <c r="J112" s="124">
        <f t="shared" si="46"/>
        <v>22287</v>
      </c>
      <c r="K112" s="24">
        <f t="shared" si="47"/>
        <v>0.66400000000000003</v>
      </c>
      <c r="N112" s="136"/>
      <c r="O112" s="136"/>
      <c r="Q112" s="139"/>
      <c r="R112" s="139"/>
    </row>
    <row r="113" spans="1:18" x14ac:dyDescent="0.2">
      <c r="A113" s="84" t="s">
        <v>447</v>
      </c>
      <c r="B113" s="84" t="s">
        <v>953</v>
      </c>
      <c r="C113" s="124">
        <f>ROUND((SUMIF('2022 detail'!$AE:$AE,$A113,'2022 detail'!G:G)),0)</f>
        <v>155275</v>
      </c>
      <c r="D113" s="124">
        <f>ROUND((SUMIF('2022 detail'!$AE:$AE,$A113,'2022 detail'!H:H)),0)</f>
        <v>155275</v>
      </c>
      <c r="E113" s="124">
        <f t="shared" si="44"/>
        <v>0</v>
      </c>
      <c r="F113" s="24">
        <f t="shared" si="45"/>
        <v>1</v>
      </c>
      <c r="H113" s="124">
        <f>ROUND((SUMIF('2021 Detail'!$AE:$AE,$A113,'2021 Detail'!G:G)),0)</f>
        <v>155276</v>
      </c>
      <c r="I113" s="124">
        <f>ROUND((SUMIF('2022 detail'!$AE:$AE,$A113,'2022 detail'!AH:AH)),0)</f>
        <v>155296</v>
      </c>
      <c r="J113" s="124">
        <f t="shared" si="46"/>
        <v>-20</v>
      </c>
      <c r="K113" s="24">
        <f t="shared" si="47"/>
        <v>1.0001</v>
      </c>
      <c r="N113" s="136"/>
      <c r="O113" s="136"/>
      <c r="Q113" s="139"/>
      <c r="R113" s="139"/>
    </row>
    <row r="114" spans="1:18" x14ac:dyDescent="0.2">
      <c r="A114" s="84" t="s">
        <v>448</v>
      </c>
      <c r="B114" s="84" t="s">
        <v>954</v>
      </c>
      <c r="C114" s="124">
        <f>ROUND((SUMIF('2022 detail'!$AE:$AE,$A114,'2022 detail'!G:G)),0)</f>
        <v>72417</v>
      </c>
      <c r="D114" s="124">
        <f>ROUND((SUMIF('2022 detail'!$AE:$AE,$A114,'2022 detail'!H:H)),0)</f>
        <v>54313</v>
      </c>
      <c r="E114" s="124">
        <f t="shared" si="44"/>
        <v>18104</v>
      </c>
      <c r="F114" s="24">
        <f t="shared" si="45"/>
        <v>0.75</v>
      </c>
      <c r="H114" s="124">
        <f>ROUND((SUMIF('2021 Detail'!$AE:$AE,$A114,'2021 Detail'!G:G)),0)</f>
        <v>72417</v>
      </c>
      <c r="I114" s="124">
        <f>ROUND((SUMIF('2022 detail'!$AE:$AE,$A114,'2022 detail'!AH:AH)),0)</f>
        <v>72417</v>
      </c>
      <c r="J114" s="124">
        <f t="shared" si="46"/>
        <v>0</v>
      </c>
      <c r="K114" s="24">
        <f t="shared" si="47"/>
        <v>1</v>
      </c>
      <c r="N114" s="136"/>
      <c r="O114" s="136"/>
      <c r="Q114" s="139"/>
      <c r="R114" s="139"/>
    </row>
    <row r="115" spans="1:18" x14ac:dyDescent="0.2">
      <c r="A115" s="84" t="s">
        <v>449</v>
      </c>
      <c r="B115" s="84" t="s">
        <v>955</v>
      </c>
      <c r="C115" s="124">
        <f>ROUND((SUMIF('2022 detail'!$AE:$AE,$A115,'2022 detail'!G:G)),0)</f>
        <v>33193</v>
      </c>
      <c r="D115" s="124">
        <f>ROUND((SUMIF('2022 detail'!$AE:$AE,$A115,'2022 detail'!H:H)),0)</f>
        <v>0</v>
      </c>
      <c r="E115" s="124">
        <f t="shared" si="44"/>
        <v>33193</v>
      </c>
      <c r="F115" s="24">
        <f t="shared" si="45"/>
        <v>0</v>
      </c>
      <c r="H115" s="124">
        <f>ROUND((SUMIF('2021 Detail'!$AE:$AE,$A115,'2021 Detail'!G:G)),0)</f>
        <v>33193</v>
      </c>
      <c r="I115" s="124">
        <f>ROUND((SUMIF('2022 detail'!$AE:$AE,$A115,'2022 detail'!AH:AH)),0)</f>
        <v>4000</v>
      </c>
      <c r="J115" s="124">
        <f t="shared" si="46"/>
        <v>29193</v>
      </c>
      <c r="K115" s="24">
        <f t="shared" si="47"/>
        <v>0.1205</v>
      </c>
      <c r="N115" s="136"/>
      <c r="O115" s="136"/>
      <c r="Q115" s="139"/>
      <c r="R115" s="139"/>
    </row>
    <row r="116" spans="1:18" x14ac:dyDescent="0.2">
      <c r="A116" s="84" t="s">
        <v>450</v>
      </c>
      <c r="B116" s="84" t="s">
        <v>956</v>
      </c>
      <c r="C116" s="124">
        <f>ROUND((SUMIF('2022 detail'!$AE:$AE,$A116,'2022 detail'!G:G)),0)</f>
        <v>101285</v>
      </c>
      <c r="D116" s="124">
        <f>ROUND((SUMIF('2022 detail'!$AE:$AE,$A116,'2022 detail'!H:H)),0)</f>
        <v>74642</v>
      </c>
      <c r="E116" s="124">
        <f t="shared" si="44"/>
        <v>26643</v>
      </c>
      <c r="F116" s="24">
        <f t="shared" si="45"/>
        <v>0.73699999999999999</v>
      </c>
      <c r="H116" s="124">
        <f>ROUND((SUMIF('2021 Detail'!$AE:$AE,$A116,'2021 Detail'!G:G)),0)</f>
        <v>101285</v>
      </c>
      <c r="I116" s="124">
        <f>ROUND((SUMIF('2022 detail'!$AE:$AE,$A116,'2022 detail'!AH:AH)),0)</f>
        <v>95428</v>
      </c>
      <c r="J116" s="124">
        <f t="shared" si="46"/>
        <v>5857</v>
      </c>
      <c r="K116" s="24">
        <f t="shared" si="47"/>
        <v>0.94220000000000004</v>
      </c>
      <c r="N116" s="136"/>
      <c r="O116" s="136"/>
      <c r="Q116" s="139"/>
      <c r="R116" s="139"/>
    </row>
    <row r="117" spans="1:18" x14ac:dyDescent="0.2">
      <c r="A117" s="84" t="s">
        <v>451</v>
      </c>
      <c r="B117" s="84" t="s">
        <v>957</v>
      </c>
      <c r="C117" s="124">
        <f>ROUND((SUMIF('2022 detail'!$AE:$AE,$A117,'2022 detail'!G:G)),0)</f>
        <v>74656</v>
      </c>
      <c r="D117" s="124">
        <f>ROUND((SUMIF('2022 detail'!$AE:$AE,$A117,'2022 detail'!H:H)),0)</f>
        <v>70210</v>
      </c>
      <c r="E117" s="124">
        <f t="shared" si="44"/>
        <v>4446</v>
      </c>
      <c r="F117" s="24">
        <f t="shared" si="45"/>
        <v>0.94040000000000001</v>
      </c>
      <c r="H117" s="124">
        <f>ROUND((SUMIF('2021 Detail'!$AE:$AE,$A117,'2021 Detail'!G:G)),0)</f>
        <v>74657</v>
      </c>
      <c r="I117" s="124">
        <f>ROUND((SUMIF('2022 detail'!$AE:$AE,$A117,'2022 detail'!AH:AH)),0)</f>
        <v>69881</v>
      </c>
      <c r="J117" s="124">
        <f t="shared" si="46"/>
        <v>4776</v>
      </c>
      <c r="K117" s="24">
        <f t="shared" si="47"/>
        <v>0.93600000000000005</v>
      </c>
      <c r="N117" s="136"/>
      <c r="O117" s="136"/>
      <c r="Q117" s="139"/>
      <c r="R117" s="139"/>
    </row>
    <row r="118" spans="1:18" ht="15.75" x14ac:dyDescent="0.25">
      <c r="B118" s="85"/>
      <c r="C118" s="130">
        <f>SUM(C107:C117)</f>
        <v>891905</v>
      </c>
      <c r="D118" s="130">
        <f>SUM(D107:D117)</f>
        <v>740919</v>
      </c>
      <c r="E118" s="130">
        <f>SUM(E107:E117)</f>
        <v>150986</v>
      </c>
      <c r="F118" s="131">
        <f t="shared" si="45"/>
        <v>0.83069999999999999</v>
      </c>
      <c r="G118" s="132"/>
      <c r="H118" s="130">
        <f>SUM(H107:H117)</f>
        <v>891905</v>
      </c>
      <c r="I118" s="130">
        <f>SUM(I107:I117)</f>
        <v>779972</v>
      </c>
      <c r="J118" s="130">
        <f>SUM(J107:J117)</f>
        <v>111933</v>
      </c>
      <c r="K118" s="131">
        <f t="shared" si="47"/>
        <v>0.87450000000000006</v>
      </c>
      <c r="N118" s="136">
        <f>COUNTIFS(F107:F117,"=1")</f>
        <v>4</v>
      </c>
      <c r="O118" s="136">
        <f>COUNTIFS(K107:K117,"=1")</f>
        <v>3</v>
      </c>
      <c r="Q118" s="139">
        <f>COUNTIFS(F107:F117,"&gt;1")</f>
        <v>0</v>
      </c>
      <c r="R118" s="139">
        <f>COUNTIFS(K107:K117,"&gt;1")</f>
        <v>1</v>
      </c>
    </row>
    <row r="119" spans="1:18" ht="15.75" x14ac:dyDescent="0.25">
      <c r="B119" s="85"/>
      <c r="N119" s="136"/>
      <c r="O119" s="136"/>
      <c r="Q119" s="139"/>
      <c r="R119" s="139"/>
    </row>
    <row r="120" spans="1:18" x14ac:dyDescent="0.2">
      <c r="B120" s="84" t="s">
        <v>958</v>
      </c>
      <c r="N120" s="136"/>
      <c r="O120" s="136"/>
      <c r="Q120" s="139"/>
      <c r="R120" s="139"/>
    </row>
    <row r="121" spans="1:18" ht="15.75" x14ac:dyDescent="0.25">
      <c r="B121" s="85"/>
      <c r="N121" s="136"/>
      <c r="O121" s="136"/>
      <c r="Q121" s="139"/>
      <c r="R121" s="139"/>
    </row>
    <row r="122" spans="1:18" x14ac:dyDescent="0.2">
      <c r="A122" s="84" t="s">
        <v>452</v>
      </c>
      <c r="B122" s="84" t="s">
        <v>959</v>
      </c>
      <c r="C122" s="124">
        <f>ROUND((SUMIF('2022 detail'!$AE:$AE,$A122,'2022 detail'!G:G)),0)</f>
        <v>67160</v>
      </c>
      <c r="D122" s="124">
        <f>ROUND((SUMIF('2022 detail'!$AE:$AE,$A122,'2022 detail'!H:H)),0)</f>
        <v>54000</v>
      </c>
      <c r="E122" s="124">
        <f>ROUND((C122-D122),0)</f>
        <v>13160</v>
      </c>
      <c r="F122" s="24">
        <f>ROUND((D122/C122),4)</f>
        <v>0.80410000000000004</v>
      </c>
      <c r="H122" s="124">
        <f>ROUND((SUMIF('2021 Detail'!$AE:$AE,$A122,'2021 Detail'!G:G)),0)</f>
        <v>67160</v>
      </c>
      <c r="I122" s="124">
        <f>ROUND((SUMIF('2022 detail'!$AE:$AE,$A122,'2022 detail'!AH:AH)),0)</f>
        <v>67000</v>
      </c>
      <c r="J122" s="124">
        <f>ROUND((H122-I122),0)</f>
        <v>160</v>
      </c>
      <c r="K122" s="24">
        <f>ROUND((I122/H122),4)</f>
        <v>0.99760000000000004</v>
      </c>
      <c r="N122" s="136"/>
      <c r="O122" s="136"/>
      <c r="Q122" s="139"/>
      <c r="R122" s="139"/>
    </row>
    <row r="123" spans="1:18" x14ac:dyDescent="0.2">
      <c r="A123" s="84" t="s">
        <v>453</v>
      </c>
      <c r="B123" s="84" t="s">
        <v>960</v>
      </c>
      <c r="C123" s="124">
        <f>ROUND((SUMIF('2022 detail'!$AE:$AE,$A123,'2022 detail'!G:G)),0)</f>
        <v>83041</v>
      </c>
      <c r="D123" s="124">
        <f>ROUND((SUMIF('2022 detail'!$AE:$AE,$A123,'2022 detail'!H:H)),0)</f>
        <v>58350</v>
      </c>
      <c r="E123" s="124">
        <f t="shared" ref="E123:E128" si="48">ROUND((C123-D123),0)</f>
        <v>24691</v>
      </c>
      <c r="F123" s="24">
        <f t="shared" ref="F123:F129" si="49">ROUND((D123/C123),4)</f>
        <v>0.70269999999999999</v>
      </c>
      <c r="H123" s="124">
        <f>ROUND((SUMIF('2021 Detail'!$AE:$AE,$A123,'2021 Detail'!G:G)),0)</f>
        <v>83050</v>
      </c>
      <c r="I123" s="124">
        <f>ROUND((SUMIF('2022 detail'!$AE:$AE,$A123,'2022 detail'!AH:AH)),0)</f>
        <v>62350</v>
      </c>
      <c r="J123" s="124">
        <f t="shared" ref="J123:J128" si="50">ROUND((H123-I123),0)</f>
        <v>20700</v>
      </c>
      <c r="K123" s="24">
        <f t="shared" ref="K123:K129" si="51">ROUND((I123/H123),4)</f>
        <v>0.75080000000000002</v>
      </c>
      <c r="N123" s="136"/>
      <c r="O123" s="136"/>
      <c r="Q123" s="139"/>
      <c r="R123" s="139"/>
    </row>
    <row r="124" spans="1:18" x14ac:dyDescent="0.2">
      <c r="A124" s="84" t="s">
        <v>454</v>
      </c>
      <c r="B124" s="84" t="s">
        <v>961</v>
      </c>
      <c r="C124" s="124">
        <f>ROUND((SUMIF('2022 detail'!$AE:$AE,$A124,'2022 detail'!G:G)),0)</f>
        <v>82238</v>
      </c>
      <c r="D124" s="124">
        <f>ROUND((SUMIF('2022 detail'!$AE:$AE,$A124,'2022 detail'!H:H)),0)</f>
        <v>48504</v>
      </c>
      <c r="E124" s="124">
        <f t="shared" si="48"/>
        <v>33734</v>
      </c>
      <c r="F124" s="24">
        <f t="shared" si="49"/>
        <v>0.58979999999999999</v>
      </c>
      <c r="H124" s="124">
        <f>ROUND((SUMIF('2021 Detail'!$AE:$AE,$A124,'2021 Detail'!G:G)),0)</f>
        <v>82237</v>
      </c>
      <c r="I124" s="124">
        <f>ROUND((SUMIF('2022 detail'!$AE:$AE,$A124,'2022 detail'!AH:AH)),0)</f>
        <v>65503</v>
      </c>
      <c r="J124" s="124">
        <f t="shared" si="50"/>
        <v>16734</v>
      </c>
      <c r="K124" s="24">
        <f t="shared" si="51"/>
        <v>0.79649999999999999</v>
      </c>
      <c r="N124" s="136"/>
      <c r="O124" s="136"/>
      <c r="Q124" s="139"/>
      <c r="R124" s="139"/>
    </row>
    <row r="125" spans="1:18" x14ac:dyDescent="0.2">
      <c r="A125" s="84" t="s">
        <v>455</v>
      </c>
      <c r="B125" s="84" t="s">
        <v>962</v>
      </c>
      <c r="C125" s="124">
        <f>ROUND((SUMIF('2022 detail'!$AE:$AE,$A125,'2022 detail'!G:G)),0)</f>
        <v>67766</v>
      </c>
      <c r="D125" s="124">
        <f>ROUND((SUMIF('2022 detail'!$AE:$AE,$A125,'2022 detail'!H:H)),0)</f>
        <v>39345</v>
      </c>
      <c r="E125" s="124">
        <f t="shared" si="48"/>
        <v>28421</v>
      </c>
      <c r="F125" s="24">
        <f t="shared" si="49"/>
        <v>0.5806</v>
      </c>
      <c r="H125" s="124">
        <f>ROUND((SUMIF('2021 Detail'!$AE:$AE,$A125,'2021 Detail'!G:G)),0)</f>
        <v>67766</v>
      </c>
      <c r="I125" s="124">
        <f>ROUND((SUMIF('2022 detail'!$AE:$AE,$A125,'2022 detail'!AH:AH)),0)</f>
        <v>36195</v>
      </c>
      <c r="J125" s="124">
        <f t="shared" si="50"/>
        <v>31571</v>
      </c>
      <c r="K125" s="24">
        <f t="shared" si="51"/>
        <v>0.53410000000000002</v>
      </c>
      <c r="N125" s="136"/>
      <c r="O125" s="136"/>
      <c r="Q125" s="139"/>
      <c r="R125" s="139"/>
    </row>
    <row r="126" spans="1:18" x14ac:dyDescent="0.2">
      <c r="A126" s="84" t="s">
        <v>456</v>
      </c>
      <c r="B126" s="84" t="s">
        <v>963</v>
      </c>
      <c r="C126" s="124">
        <f>ROUND((SUMIF('2022 detail'!$AE:$AE,$A126,'2022 detail'!G:G)),0)</f>
        <v>89115</v>
      </c>
      <c r="D126" s="124">
        <f>ROUND((SUMIF('2022 detail'!$AE:$AE,$A126,'2022 detail'!H:H)),0)</f>
        <v>89120</v>
      </c>
      <c r="E126" s="124">
        <f t="shared" si="48"/>
        <v>-5</v>
      </c>
      <c r="F126" s="24">
        <f t="shared" si="49"/>
        <v>1.0001</v>
      </c>
      <c r="H126" s="124">
        <f>ROUND((SUMIF('2021 Detail'!$AE:$AE,$A126,'2021 Detail'!G:G)),0)</f>
        <v>89115</v>
      </c>
      <c r="I126" s="124">
        <f>ROUND((SUMIF('2022 detail'!$AE:$AE,$A126,'2022 detail'!AH:AH)),0)</f>
        <v>89115</v>
      </c>
      <c r="J126" s="124">
        <f t="shared" si="50"/>
        <v>0</v>
      </c>
      <c r="K126" s="24">
        <f t="shared" si="51"/>
        <v>1</v>
      </c>
      <c r="N126" s="136"/>
      <c r="O126" s="136"/>
      <c r="Q126" s="139"/>
      <c r="R126" s="139"/>
    </row>
    <row r="127" spans="1:18" x14ac:dyDescent="0.2">
      <c r="A127" s="84" t="s">
        <v>457</v>
      </c>
      <c r="B127" s="84" t="s">
        <v>964</v>
      </c>
      <c r="C127" s="124">
        <f>ROUND((SUMIF('2022 detail'!$AE:$AE,$A127,'2022 detail'!G:G)),0)</f>
        <v>59145</v>
      </c>
      <c r="D127" s="124">
        <f>ROUND((SUMIF('2022 detail'!$AE:$AE,$A127,'2022 detail'!H:H)),0)</f>
        <v>59145</v>
      </c>
      <c r="E127" s="124">
        <f t="shared" si="48"/>
        <v>0</v>
      </c>
      <c r="F127" s="24">
        <f t="shared" si="49"/>
        <v>1</v>
      </c>
      <c r="H127" s="124">
        <f>ROUND((SUMIF('2021 Detail'!$AE:$AE,$A127,'2021 Detail'!G:G)),0)</f>
        <v>59145</v>
      </c>
      <c r="I127" s="124">
        <f>ROUND((SUMIF('2022 detail'!$AE:$AE,$A127,'2022 detail'!AH:AH)),0)</f>
        <v>59145</v>
      </c>
      <c r="J127" s="124">
        <f t="shared" si="50"/>
        <v>0</v>
      </c>
      <c r="K127" s="24">
        <f t="shared" si="51"/>
        <v>1</v>
      </c>
      <c r="N127" s="136"/>
      <c r="O127" s="136"/>
      <c r="Q127" s="139"/>
      <c r="R127" s="139"/>
    </row>
    <row r="128" spans="1:18" x14ac:dyDescent="0.2">
      <c r="A128" s="84" t="s">
        <v>458</v>
      </c>
      <c r="B128" s="84" t="s">
        <v>965</v>
      </c>
      <c r="C128" s="124">
        <f>ROUND((SUMIF('2022 detail'!$AE:$AE,$A128,'2022 detail'!G:G)),0)</f>
        <v>70068</v>
      </c>
      <c r="D128" s="124">
        <f>ROUND((SUMIF('2022 detail'!$AE:$AE,$A128,'2022 detail'!H:H)),0)</f>
        <v>70068</v>
      </c>
      <c r="E128" s="124">
        <f t="shared" si="48"/>
        <v>0</v>
      </c>
      <c r="F128" s="24">
        <f t="shared" si="49"/>
        <v>1</v>
      </c>
      <c r="H128" s="124">
        <f>ROUND((SUMIF('2021 Detail'!$AE:$AE,$A128,'2021 Detail'!G:G)),0)</f>
        <v>70068</v>
      </c>
      <c r="I128" s="124">
        <f>ROUND((SUMIF('2022 detail'!$AE:$AE,$A128,'2022 detail'!AH:AH)),0)</f>
        <v>70068</v>
      </c>
      <c r="J128" s="124">
        <f t="shared" si="50"/>
        <v>0</v>
      </c>
      <c r="K128" s="24">
        <f t="shared" si="51"/>
        <v>1</v>
      </c>
      <c r="N128" s="136"/>
      <c r="O128" s="136"/>
      <c r="Q128" s="139"/>
      <c r="R128" s="139"/>
    </row>
    <row r="129" spans="1:18" ht="15.75" x14ac:dyDescent="0.25">
      <c r="B129" s="85"/>
      <c r="C129" s="130">
        <f>SUM(C122:C128)</f>
        <v>518533</v>
      </c>
      <c r="D129" s="130">
        <f t="shared" ref="D129:E129" si="52">SUM(D122:D128)</f>
        <v>418532</v>
      </c>
      <c r="E129" s="130">
        <f t="shared" si="52"/>
        <v>100001</v>
      </c>
      <c r="F129" s="131">
        <f t="shared" si="49"/>
        <v>0.80710000000000004</v>
      </c>
      <c r="G129" s="132"/>
      <c r="H129" s="130">
        <f>SUM(H122:H128)</f>
        <v>518541</v>
      </c>
      <c r="I129" s="130">
        <f t="shared" ref="I129" si="53">SUM(I122:I128)</f>
        <v>449376</v>
      </c>
      <c r="J129" s="130">
        <f t="shared" ref="J129" si="54">SUM(J122:J128)</f>
        <v>69165</v>
      </c>
      <c r="K129" s="131">
        <f t="shared" si="51"/>
        <v>0.86660000000000004</v>
      </c>
      <c r="N129" s="136">
        <f>COUNTIFS(F122:F128,"=1")</f>
        <v>2</v>
      </c>
      <c r="O129" s="136">
        <f>COUNTIFS(K122:K128,"=1")</f>
        <v>3</v>
      </c>
      <c r="Q129" s="139">
        <f>COUNTIFS(F122:F128,"&gt;1")</f>
        <v>1</v>
      </c>
      <c r="R129" s="139">
        <f>COUNTIFS(K122:K128,"&gt;1")</f>
        <v>0</v>
      </c>
    </row>
    <row r="130" spans="1:18" ht="15.75" x14ac:dyDescent="0.25">
      <c r="B130" s="85"/>
      <c r="N130" s="136"/>
      <c r="O130" s="136"/>
      <c r="Q130" s="139"/>
      <c r="R130" s="139"/>
    </row>
    <row r="131" spans="1:18" x14ac:dyDescent="0.2">
      <c r="B131" s="84" t="s">
        <v>966</v>
      </c>
      <c r="N131" s="136"/>
      <c r="O131" s="136"/>
      <c r="Q131" s="139"/>
      <c r="R131" s="139"/>
    </row>
    <row r="132" spans="1:18" ht="15.75" x14ac:dyDescent="0.25">
      <c r="B132" s="85"/>
      <c r="N132" s="136"/>
      <c r="O132" s="136"/>
      <c r="Q132" s="139"/>
      <c r="R132" s="139"/>
    </row>
    <row r="133" spans="1:18" x14ac:dyDescent="0.2">
      <c r="A133" s="84" t="s">
        <v>459</v>
      </c>
      <c r="B133" s="84" t="s">
        <v>967</v>
      </c>
      <c r="C133" s="124">
        <f>ROUND((SUMIF('2022 detail'!$AE:$AE,$A133,'2022 detail'!G:G)),0)</f>
        <v>40001</v>
      </c>
      <c r="D133" s="124">
        <f>ROUND((SUMIF('2022 detail'!$AE:$AE,$A133,'2022 detail'!H:H)),0)</f>
        <v>25130</v>
      </c>
      <c r="E133" s="124">
        <f>ROUND((C133-D133),0)</f>
        <v>14871</v>
      </c>
      <c r="F133" s="24">
        <f>ROUND((D133/C133),4)</f>
        <v>0.62819999999999998</v>
      </c>
      <c r="H133" s="124">
        <f>ROUND((SUMIF('2021 Detail'!$AE:$AE,$A133,'2021 Detail'!G:G)),0)</f>
        <v>40000</v>
      </c>
      <c r="I133" s="124">
        <f>ROUND((SUMIF('2022 detail'!$AE:$AE,$A133,'2022 detail'!AH:AH)),0)</f>
        <v>24480</v>
      </c>
      <c r="J133" s="124">
        <f>ROUND((H133-I133),0)</f>
        <v>15520</v>
      </c>
      <c r="K133" s="24">
        <f>ROUND((I133/H133),4)</f>
        <v>0.61199999999999999</v>
      </c>
      <c r="N133" s="136"/>
      <c r="O133" s="136"/>
      <c r="Q133" s="139"/>
      <c r="R133" s="139"/>
    </row>
    <row r="134" spans="1:18" x14ac:dyDescent="0.2">
      <c r="A134" s="84" t="s">
        <v>460</v>
      </c>
      <c r="B134" s="84" t="s">
        <v>968</v>
      </c>
      <c r="C134" s="124">
        <f>ROUND((SUMIF('2022 detail'!$AE:$AE,$A134,'2022 detail'!G:G)),0)</f>
        <v>70537</v>
      </c>
      <c r="D134" s="124">
        <f>ROUND((SUMIF('2022 detail'!$AE:$AE,$A134,'2022 detail'!H:H)),0)</f>
        <v>70537</v>
      </c>
      <c r="E134" s="124">
        <f t="shared" ref="E134:E138" si="55">ROUND((C134-D134),0)</f>
        <v>0</v>
      </c>
      <c r="F134" s="24">
        <f t="shared" ref="F134:F139" si="56">ROUND((D134/C134),4)</f>
        <v>1</v>
      </c>
      <c r="H134" s="124">
        <f>ROUND((SUMIF('2021 Detail'!$AE:$AE,$A134,'2021 Detail'!G:G)),0)</f>
        <v>70537</v>
      </c>
      <c r="I134" s="124">
        <f>ROUND((SUMIF('2022 detail'!$AE:$AE,$A134,'2022 detail'!AH:AH)),0)</f>
        <v>70537</v>
      </c>
      <c r="J134" s="124">
        <f t="shared" ref="J134:J138" si="57">ROUND((H134-I134),0)</f>
        <v>0</v>
      </c>
      <c r="K134" s="24">
        <f t="shared" ref="K134:K139" si="58">ROUND((I134/H134),4)</f>
        <v>1</v>
      </c>
      <c r="N134" s="136"/>
      <c r="O134" s="136"/>
      <c r="Q134" s="139"/>
      <c r="R134" s="139"/>
    </row>
    <row r="135" spans="1:18" x14ac:dyDescent="0.2">
      <c r="A135" s="84" t="s">
        <v>461</v>
      </c>
      <c r="B135" s="84" t="s">
        <v>969</v>
      </c>
      <c r="C135" s="124">
        <f>ROUND((SUMIF('2022 detail'!$AE:$AE,$A135,'2022 detail'!G:G)),0)</f>
        <v>58435</v>
      </c>
      <c r="D135" s="124">
        <f>ROUND((SUMIF('2022 detail'!$AE:$AE,$A135,'2022 detail'!H:H)),0)</f>
        <v>48000</v>
      </c>
      <c r="E135" s="124">
        <f t="shared" si="55"/>
        <v>10435</v>
      </c>
      <c r="F135" s="24">
        <f t="shared" si="56"/>
        <v>0.82140000000000002</v>
      </c>
      <c r="H135" s="124">
        <f>ROUND((SUMIF('2021 Detail'!$AE:$AE,$A135,'2021 Detail'!G:G)),0)</f>
        <v>58435</v>
      </c>
      <c r="I135" s="124">
        <f>ROUND((SUMIF('2022 detail'!$AE:$AE,$A135,'2022 detail'!AH:AH)),0)</f>
        <v>49000</v>
      </c>
      <c r="J135" s="124">
        <f t="shared" si="57"/>
        <v>9435</v>
      </c>
      <c r="K135" s="24">
        <f t="shared" si="58"/>
        <v>0.83850000000000002</v>
      </c>
      <c r="N135" s="136"/>
      <c r="O135" s="136"/>
      <c r="Q135" s="139"/>
      <c r="R135" s="139"/>
    </row>
    <row r="136" spans="1:18" x14ac:dyDescent="0.2">
      <c r="A136" s="84" t="s">
        <v>462</v>
      </c>
      <c r="B136" s="84" t="s">
        <v>970</v>
      </c>
      <c r="C136" s="124">
        <f>ROUND((SUMIF('2022 detail'!$AE:$AE,$A136,'2022 detail'!G:G)),0)</f>
        <v>53230</v>
      </c>
      <c r="D136" s="124">
        <f>ROUND((SUMIF('2022 detail'!$AE:$AE,$A136,'2022 detail'!H:H)),0)</f>
        <v>45500</v>
      </c>
      <c r="E136" s="124">
        <f t="shared" si="55"/>
        <v>7730</v>
      </c>
      <c r="F136" s="24">
        <f t="shared" si="56"/>
        <v>0.8548</v>
      </c>
      <c r="H136" s="124">
        <f>ROUND((SUMIF('2021 Detail'!$AE:$AE,$A136,'2021 Detail'!G:G)),0)</f>
        <v>53230</v>
      </c>
      <c r="I136" s="124">
        <f>ROUND((SUMIF('2022 detail'!$AE:$AE,$A136,'2022 detail'!AH:AH)),0)</f>
        <v>42250</v>
      </c>
      <c r="J136" s="124">
        <f t="shared" si="57"/>
        <v>10980</v>
      </c>
      <c r="K136" s="24">
        <f t="shared" si="58"/>
        <v>0.79369999999999996</v>
      </c>
      <c r="N136" s="136"/>
      <c r="O136" s="136"/>
      <c r="Q136" s="139"/>
      <c r="R136" s="139"/>
    </row>
    <row r="137" spans="1:18" x14ac:dyDescent="0.2">
      <c r="A137" s="84" t="s">
        <v>463</v>
      </c>
      <c r="B137" s="84" t="s">
        <v>972</v>
      </c>
      <c r="C137" s="124">
        <f>ROUND((SUMIF('2022 detail'!$AE:$AE,$A137,'2022 detail'!G:G)),0)</f>
        <v>67553</v>
      </c>
      <c r="D137" s="124">
        <f>ROUND((SUMIF('2022 detail'!$AE:$AE,$A137,'2022 detail'!H:H)),0)</f>
        <v>43513</v>
      </c>
      <c r="E137" s="124">
        <f t="shared" si="55"/>
        <v>24040</v>
      </c>
      <c r="F137" s="24">
        <f t="shared" si="56"/>
        <v>0.64410000000000001</v>
      </c>
      <c r="H137" s="124">
        <f>ROUND((SUMIF('2021 Detail'!$AE:$AE,$A137,'2021 Detail'!G:G)),0)</f>
        <v>67553</v>
      </c>
      <c r="I137" s="124">
        <f>ROUND((SUMIF('2022 detail'!$AE:$AE,$A137,'2022 detail'!AH:AH)),0)</f>
        <v>48977</v>
      </c>
      <c r="J137" s="124">
        <f t="shared" si="57"/>
        <v>18576</v>
      </c>
      <c r="K137" s="24">
        <f t="shared" si="58"/>
        <v>0.72499999999999998</v>
      </c>
      <c r="N137" s="136"/>
      <c r="O137" s="136"/>
      <c r="Q137" s="139"/>
      <c r="R137" s="139"/>
    </row>
    <row r="138" spans="1:18" x14ac:dyDescent="0.2">
      <c r="A138" s="84" t="s">
        <v>464</v>
      </c>
      <c r="B138" s="84" t="s">
        <v>973</v>
      </c>
      <c r="C138" s="124">
        <f>ROUND((SUMIF('2022 detail'!$AE:$AE,$A138,'2022 detail'!G:G)),0)</f>
        <v>26400</v>
      </c>
      <c r="D138" s="124">
        <f>ROUND((SUMIF('2022 detail'!$AE:$AE,$A138,'2022 detail'!H:H)),0)</f>
        <v>26400</v>
      </c>
      <c r="E138" s="124">
        <f t="shared" si="55"/>
        <v>0</v>
      </c>
      <c r="F138" s="24">
        <f t="shared" si="56"/>
        <v>1</v>
      </c>
      <c r="H138" s="124">
        <f>ROUND((SUMIF('2021 Detail'!$AE:$AE,$A138,'2021 Detail'!G:G)),0)</f>
        <v>26400</v>
      </c>
      <c r="I138" s="124">
        <f>ROUND((SUMIF('2022 detail'!$AE:$AE,$A138,'2022 detail'!AH:AH)),0)</f>
        <v>26400</v>
      </c>
      <c r="J138" s="124">
        <f t="shared" si="57"/>
        <v>0</v>
      </c>
      <c r="K138" s="24">
        <f t="shared" si="58"/>
        <v>1</v>
      </c>
      <c r="N138" s="136"/>
      <c r="O138" s="136"/>
      <c r="Q138" s="139"/>
      <c r="R138" s="139"/>
    </row>
    <row r="139" spans="1:18" ht="15.75" x14ac:dyDescent="0.25">
      <c r="B139" s="85"/>
      <c r="C139" s="130">
        <f>SUM(C133:C138)</f>
        <v>316156</v>
      </c>
      <c r="D139" s="130">
        <f>SUM(D133:D138)</f>
        <v>259080</v>
      </c>
      <c r="E139" s="130">
        <f>SUM(E133:E138)</f>
        <v>57076</v>
      </c>
      <c r="F139" s="131">
        <f t="shared" si="56"/>
        <v>0.81950000000000001</v>
      </c>
      <c r="G139" s="132"/>
      <c r="H139" s="130">
        <f>SUM(H133:H138)</f>
        <v>316155</v>
      </c>
      <c r="I139" s="130">
        <f>SUM(I133:I138)</f>
        <v>261644</v>
      </c>
      <c r="J139" s="130">
        <f>SUM(J133:J138)</f>
        <v>54511</v>
      </c>
      <c r="K139" s="131">
        <f t="shared" si="58"/>
        <v>0.8276</v>
      </c>
      <c r="N139" s="136">
        <f>COUNTIFS(F133:F138,"=1")</f>
        <v>2</v>
      </c>
      <c r="O139" s="136">
        <f>COUNTIFS(K133:K138,"=1")</f>
        <v>2</v>
      </c>
      <c r="Q139" s="139">
        <f>COUNTIFS(F133:F138,"&gt;1")</f>
        <v>0</v>
      </c>
      <c r="R139" s="139">
        <f>COUNTIFS(K133:K138,"&gt;1")</f>
        <v>0</v>
      </c>
    </row>
    <row r="140" spans="1:18" ht="15.75" x14ac:dyDescent="0.25">
      <c r="B140" s="85"/>
      <c r="N140" s="136"/>
      <c r="O140" s="136"/>
      <c r="Q140" s="139"/>
      <c r="R140" s="139"/>
    </row>
    <row r="141" spans="1:18" x14ac:dyDescent="0.2">
      <c r="B141" s="84" t="s">
        <v>974</v>
      </c>
      <c r="N141" s="136"/>
      <c r="O141" s="136"/>
      <c r="Q141" s="139"/>
      <c r="R141" s="139"/>
    </row>
    <row r="142" spans="1:18" ht="15.75" x14ac:dyDescent="0.25">
      <c r="B142" s="85"/>
      <c r="N142" s="136"/>
      <c r="O142" s="136"/>
      <c r="Q142" s="139"/>
      <c r="R142" s="139"/>
    </row>
    <row r="143" spans="1:18" x14ac:dyDescent="0.2">
      <c r="A143" s="84" t="s">
        <v>465</v>
      </c>
      <c r="B143" s="84" t="s">
        <v>975</v>
      </c>
      <c r="C143" s="124">
        <f>ROUND((SUMIF('2022 detail'!$AE:$AE,$A143,'2022 detail'!G:G)),0)</f>
        <v>48536</v>
      </c>
      <c r="D143" s="124">
        <f>ROUND((SUMIF('2022 detail'!$AE:$AE,$A143,'2022 detail'!H:H)),0)</f>
        <v>38130</v>
      </c>
      <c r="E143" s="124">
        <f>ROUND((C143-D143),0)</f>
        <v>10406</v>
      </c>
      <c r="F143" s="24">
        <f>ROUND((D143/C143),4)</f>
        <v>0.78559999999999997</v>
      </c>
      <c r="H143" s="124">
        <f>ROUND((SUMIF('2021 Detail'!$AE:$AE,$A143,'2021 Detail'!G:G)),0)</f>
        <v>48536</v>
      </c>
      <c r="I143" s="124">
        <f>ROUND((SUMIF('2022 detail'!$AE:$AE,$A143,'2022 detail'!AH:AH)),0)</f>
        <v>37910</v>
      </c>
      <c r="J143" s="124">
        <f>ROUND((H143-I143),0)</f>
        <v>10626</v>
      </c>
      <c r="K143" s="24">
        <f>ROUND((I143/H143),4)</f>
        <v>0.78110000000000002</v>
      </c>
      <c r="N143" s="136"/>
      <c r="O143" s="136"/>
      <c r="Q143" s="139"/>
      <c r="R143" s="139"/>
    </row>
    <row r="144" spans="1:18" x14ac:dyDescent="0.2">
      <c r="A144" s="84" t="s">
        <v>471</v>
      </c>
      <c r="B144" s="84" t="s">
        <v>976</v>
      </c>
      <c r="C144" s="124">
        <f>ROUND((SUMIF('2022 detail'!$AE:$AE,$A144,'2022 detail'!G:G)),0)</f>
        <v>72000</v>
      </c>
      <c r="D144" s="124">
        <f>ROUND((SUMIF('2022 detail'!$AE:$AE,$A144,'2022 detail'!H:H)),0)</f>
        <v>35750</v>
      </c>
      <c r="E144" s="124">
        <f t="shared" ref="E144:E149" si="59">ROUND((C144-D144),0)</f>
        <v>36250</v>
      </c>
      <c r="F144" s="24">
        <f t="shared" ref="F144:F150" si="60">ROUND((D144/C144),4)</f>
        <v>0.4965</v>
      </c>
      <c r="H144" s="124">
        <f>ROUND((SUMIF('2021 Detail'!$AE:$AE,$A144,'2021 Detail'!G:G)),0)</f>
        <v>72000</v>
      </c>
      <c r="I144" s="124">
        <f>ROUND((SUMIF('2022 detail'!$AE:$AE,$A144,'2022 detail'!AH:AH)),0)</f>
        <v>39370</v>
      </c>
      <c r="J144" s="124">
        <f t="shared" ref="J144:J149" si="61">ROUND((H144-I144),0)</f>
        <v>32630</v>
      </c>
      <c r="K144" s="24">
        <f t="shared" ref="K144:K150" si="62">ROUND((I144/H144),4)</f>
        <v>0.54679999999999995</v>
      </c>
      <c r="N144" s="136"/>
      <c r="O144" s="136"/>
      <c r="Q144" s="139"/>
      <c r="R144" s="139"/>
    </row>
    <row r="145" spans="1:18" x14ac:dyDescent="0.2">
      <c r="A145" s="84" t="s">
        <v>466</v>
      </c>
      <c r="B145" s="84" t="s">
        <v>977</v>
      </c>
      <c r="C145" s="124">
        <f>ROUND((SUMIF('2022 detail'!$AE:$AE,$A145,'2022 detail'!G:G)),0)</f>
        <v>157548</v>
      </c>
      <c r="D145" s="124">
        <f>ROUND((SUMIF('2022 detail'!$AE:$AE,$A145,'2022 detail'!H:H)),0)</f>
        <v>150808</v>
      </c>
      <c r="E145" s="124">
        <f t="shared" si="59"/>
        <v>6740</v>
      </c>
      <c r="F145" s="24">
        <f t="shared" si="60"/>
        <v>0.95720000000000005</v>
      </c>
      <c r="H145" s="124">
        <f>ROUND((SUMIF('2021 Detail'!$AE:$AE,$A145,'2021 Detail'!G:G)),0)</f>
        <v>157548</v>
      </c>
      <c r="I145" s="124">
        <f>ROUND((SUMIF('2022 detail'!$AE:$AE,$A145,'2022 detail'!AH:AH)),0)</f>
        <v>150808</v>
      </c>
      <c r="J145" s="124">
        <f t="shared" si="61"/>
        <v>6740</v>
      </c>
      <c r="K145" s="24">
        <f t="shared" si="62"/>
        <v>0.95720000000000005</v>
      </c>
      <c r="N145" s="136"/>
      <c r="O145" s="136"/>
      <c r="Q145" s="139"/>
      <c r="R145" s="139"/>
    </row>
    <row r="146" spans="1:18" x14ac:dyDescent="0.2">
      <c r="A146" s="84" t="s">
        <v>467</v>
      </c>
      <c r="B146" s="84" t="s">
        <v>978</v>
      </c>
      <c r="C146" s="124">
        <f>ROUND((SUMIF('2022 detail'!$AE:$AE,$A146,'2022 detail'!G:G)),0)</f>
        <v>66843</v>
      </c>
      <c r="D146" s="124">
        <f>ROUND((SUMIF('2022 detail'!$AE:$AE,$A146,'2022 detail'!H:H)),0)</f>
        <v>40862</v>
      </c>
      <c r="E146" s="124">
        <f t="shared" si="59"/>
        <v>25981</v>
      </c>
      <c r="F146" s="24">
        <f t="shared" si="60"/>
        <v>0.61129999999999995</v>
      </c>
      <c r="H146" s="124">
        <f>ROUND((SUMIF('2021 Detail'!$AE:$AE,$A146,'2021 Detail'!G:G)),0)</f>
        <v>66843</v>
      </c>
      <c r="I146" s="124">
        <f>ROUND((SUMIF('2022 detail'!$AE:$AE,$A146,'2022 detail'!AH:AH)),0)</f>
        <v>49658</v>
      </c>
      <c r="J146" s="124">
        <f t="shared" si="61"/>
        <v>17185</v>
      </c>
      <c r="K146" s="24">
        <f t="shared" si="62"/>
        <v>0.7429</v>
      </c>
      <c r="N146" s="136"/>
      <c r="O146" s="136"/>
      <c r="Q146" s="139"/>
      <c r="R146" s="139"/>
    </row>
    <row r="147" spans="1:18" x14ac:dyDescent="0.2">
      <c r="A147" s="84" t="s">
        <v>468</v>
      </c>
      <c r="B147" s="84" t="s">
        <v>979</v>
      </c>
      <c r="C147" s="124">
        <f>ROUND((SUMIF('2022 detail'!$AE:$AE,$A147,'2022 detail'!G:G)),0)</f>
        <v>48735</v>
      </c>
      <c r="D147" s="124">
        <f>ROUND((SUMIF('2022 detail'!$AE:$AE,$A147,'2022 detail'!H:H)),0)</f>
        <v>41648</v>
      </c>
      <c r="E147" s="124">
        <f t="shared" si="59"/>
        <v>7087</v>
      </c>
      <c r="F147" s="24">
        <f t="shared" si="60"/>
        <v>0.85460000000000003</v>
      </c>
      <c r="H147" s="124">
        <f>ROUND((SUMIF('2021 Detail'!$AE:$AE,$A147,'2021 Detail'!G:G)),0)</f>
        <v>48735</v>
      </c>
      <c r="I147" s="124">
        <f>ROUND((SUMIF('2022 detail'!$AE:$AE,$A147,'2022 detail'!AH:AH)),0)</f>
        <v>44132</v>
      </c>
      <c r="J147" s="124">
        <f t="shared" si="61"/>
        <v>4603</v>
      </c>
      <c r="K147" s="24">
        <f t="shared" si="62"/>
        <v>0.90559999999999996</v>
      </c>
      <c r="N147" s="136"/>
      <c r="O147" s="136"/>
      <c r="Q147" s="139"/>
      <c r="R147" s="139"/>
    </row>
    <row r="148" spans="1:18" x14ac:dyDescent="0.2">
      <c r="A148" s="84" t="s">
        <v>469</v>
      </c>
      <c r="B148" s="84" t="s">
        <v>980</v>
      </c>
      <c r="C148" s="124">
        <f>ROUND((SUMIF('2022 detail'!$AE:$AE,$A148,'2022 detail'!G:G)),0)</f>
        <v>72952</v>
      </c>
      <c r="D148" s="124">
        <f>ROUND((SUMIF('2022 detail'!$AE:$AE,$A148,'2022 detail'!H:H)),0)</f>
        <v>72952</v>
      </c>
      <c r="E148" s="124">
        <f t="shared" si="59"/>
        <v>0</v>
      </c>
      <c r="F148" s="24">
        <f t="shared" si="60"/>
        <v>1</v>
      </c>
      <c r="H148" s="124">
        <f>ROUND((SUMIF('2021 Detail'!$AE:$AE,$A148,'2021 Detail'!G:G)),0)</f>
        <v>72951</v>
      </c>
      <c r="I148" s="124">
        <f>ROUND((SUMIF('2022 detail'!$AE:$AE,$A148,'2022 detail'!AH:AH)),0)</f>
        <v>66675</v>
      </c>
      <c r="J148" s="124">
        <f t="shared" si="61"/>
        <v>6276</v>
      </c>
      <c r="K148" s="24">
        <f t="shared" si="62"/>
        <v>0.91400000000000003</v>
      </c>
      <c r="N148" s="136"/>
      <c r="O148" s="136"/>
      <c r="Q148" s="139"/>
      <c r="R148" s="139"/>
    </row>
    <row r="149" spans="1:18" x14ac:dyDescent="0.2">
      <c r="A149" s="84" t="s">
        <v>470</v>
      </c>
      <c r="B149" s="84" t="s">
        <v>981</v>
      </c>
      <c r="C149" s="124">
        <f>ROUND((SUMIF('2022 detail'!$AE:$AE,$A149,'2022 detail'!G:G)),0)</f>
        <v>72001</v>
      </c>
      <c r="D149" s="124">
        <f>ROUND((SUMIF('2022 detail'!$AE:$AE,$A149,'2022 detail'!H:H)),0)</f>
        <v>69914</v>
      </c>
      <c r="E149" s="124">
        <f t="shared" si="59"/>
        <v>2087</v>
      </c>
      <c r="F149" s="24">
        <f t="shared" si="60"/>
        <v>0.97099999999999997</v>
      </c>
      <c r="H149" s="124">
        <f>ROUND((SUMIF('2021 Detail'!$AE:$AE,$A149,'2021 Detail'!G:G)),0)</f>
        <v>72000</v>
      </c>
      <c r="I149" s="124">
        <f>ROUND((SUMIF('2022 detail'!$AE:$AE,$A149,'2022 detail'!AH:AH)),0)</f>
        <v>70141</v>
      </c>
      <c r="J149" s="124">
        <f t="shared" si="61"/>
        <v>1859</v>
      </c>
      <c r="K149" s="24">
        <f t="shared" si="62"/>
        <v>0.97419999999999995</v>
      </c>
      <c r="N149" s="136"/>
      <c r="O149" s="136"/>
      <c r="Q149" s="139"/>
      <c r="R149" s="139"/>
    </row>
    <row r="150" spans="1:18" ht="15.75" x14ac:dyDescent="0.25">
      <c r="B150" s="85"/>
      <c r="C150" s="130">
        <f>SUM(C143:C149)</f>
        <v>538615</v>
      </c>
      <c r="D150" s="130">
        <f t="shared" ref="D150:E150" si="63">SUM(D143:D149)</f>
        <v>450064</v>
      </c>
      <c r="E150" s="130">
        <f t="shared" si="63"/>
        <v>88551</v>
      </c>
      <c r="F150" s="131">
        <f t="shared" si="60"/>
        <v>0.83560000000000001</v>
      </c>
      <c r="G150" s="132"/>
      <c r="H150" s="130">
        <f>SUM(H143:H149)</f>
        <v>538613</v>
      </c>
      <c r="I150" s="130">
        <f t="shared" ref="I150" si="64">SUM(I143:I149)</f>
        <v>458694</v>
      </c>
      <c r="J150" s="130">
        <f t="shared" ref="J150" si="65">SUM(J143:J149)</f>
        <v>79919</v>
      </c>
      <c r="K150" s="131">
        <f t="shared" si="62"/>
        <v>0.85160000000000002</v>
      </c>
      <c r="N150" s="136">
        <f>COUNTIFS(F143:F149,"=1")</f>
        <v>1</v>
      </c>
      <c r="O150" s="136">
        <f>COUNTIFS(K143:K149,"=1")</f>
        <v>0</v>
      </c>
      <c r="Q150" s="139">
        <f>COUNTIFS(F143:F149,"&gt;1")</f>
        <v>0</v>
      </c>
      <c r="R150" s="139">
        <f>COUNTIFS(K143:K149,"&gt;1")</f>
        <v>0</v>
      </c>
    </row>
    <row r="151" spans="1:18" ht="15.75" x14ac:dyDescent="0.25">
      <c r="B151" s="85"/>
      <c r="N151" s="136"/>
      <c r="O151" s="136"/>
      <c r="Q151" s="139"/>
      <c r="R151" s="139"/>
    </row>
    <row r="152" spans="1:18" x14ac:dyDescent="0.2">
      <c r="B152" s="84" t="s">
        <v>982</v>
      </c>
      <c r="N152" s="136"/>
      <c r="O152" s="136"/>
      <c r="Q152" s="139"/>
      <c r="R152" s="139"/>
    </row>
    <row r="153" spans="1:18" ht="15.75" x14ac:dyDescent="0.25">
      <c r="B153" s="85"/>
      <c r="N153" s="136"/>
      <c r="O153" s="136"/>
      <c r="Q153" s="139"/>
      <c r="R153" s="139"/>
    </row>
    <row r="154" spans="1:18" x14ac:dyDescent="0.2">
      <c r="A154" s="84" t="s">
        <v>472</v>
      </c>
      <c r="B154" s="84" t="s">
        <v>983</v>
      </c>
      <c r="C154" s="124">
        <f>ROUND((SUMIF('2022 detail'!$AE:$AE,$A154,'2022 detail'!G:G)),0)</f>
        <v>90264</v>
      </c>
      <c r="D154" s="124">
        <f>ROUND((SUMIF('2022 detail'!$AE:$AE,$A154,'2022 detail'!H:H)),0)</f>
        <v>81826</v>
      </c>
      <c r="E154" s="124">
        <f>ROUND((C154-D154),0)</f>
        <v>8438</v>
      </c>
      <c r="F154" s="24">
        <f>ROUND((D154/C154),4)</f>
        <v>0.90649999999999997</v>
      </c>
      <c r="H154" s="124">
        <f>ROUND((SUMIF('2021 Detail'!$AE:$AE,$A154,'2021 Detail'!G:G)),0)</f>
        <v>90264</v>
      </c>
      <c r="I154" s="124">
        <f>ROUND((SUMIF('2022 detail'!$AE:$AE,$A154,'2022 detail'!AH:AH)),0)</f>
        <v>81187</v>
      </c>
      <c r="J154" s="124">
        <f>ROUND((H154-I154),0)</f>
        <v>9077</v>
      </c>
      <c r="K154" s="24">
        <f>ROUND((I154/H154),4)</f>
        <v>0.89939999999999998</v>
      </c>
      <c r="N154" s="136"/>
      <c r="O154" s="136"/>
      <c r="Q154" s="139"/>
      <c r="R154" s="139"/>
    </row>
    <row r="155" spans="1:18" x14ac:dyDescent="0.2">
      <c r="A155" s="84" t="s">
        <v>473</v>
      </c>
      <c r="B155" s="84" t="s">
        <v>984</v>
      </c>
      <c r="C155" s="124">
        <f>ROUND((SUMIF('2022 detail'!$AE:$AE,$A155,'2022 detail'!G:G)),0)</f>
        <v>74086</v>
      </c>
      <c r="D155" s="124">
        <f>ROUND((SUMIF('2022 detail'!$AE:$AE,$A155,'2022 detail'!H:H)),0)</f>
        <v>61790</v>
      </c>
      <c r="E155" s="124">
        <f t="shared" ref="E155:E162" si="66">ROUND((C155-D155),0)</f>
        <v>12296</v>
      </c>
      <c r="F155" s="24">
        <f t="shared" ref="F155:F163" si="67">ROUND((D155/C155),4)</f>
        <v>0.83399999999999996</v>
      </c>
      <c r="H155" s="124">
        <f>ROUND((SUMIF('2021 Detail'!$AE:$AE,$A155,'2021 Detail'!G:G)),0)</f>
        <v>74085</v>
      </c>
      <c r="I155" s="124">
        <f>ROUND((SUMIF('2022 detail'!$AE:$AE,$A155,'2022 detail'!AH:AH)),0)</f>
        <v>71792</v>
      </c>
      <c r="J155" s="124">
        <f t="shared" ref="J155:J162" si="68">ROUND((H155-I155),0)</f>
        <v>2293</v>
      </c>
      <c r="K155" s="24">
        <f t="shared" ref="K155:K163" si="69">ROUND((I155/H155),4)</f>
        <v>0.96899999999999997</v>
      </c>
      <c r="N155" s="136"/>
      <c r="O155" s="136"/>
      <c r="Q155" s="139"/>
      <c r="R155" s="139"/>
    </row>
    <row r="156" spans="1:18" x14ac:dyDescent="0.2">
      <c r="A156" s="84" t="s">
        <v>474</v>
      </c>
      <c r="B156" s="84" t="s">
        <v>985</v>
      </c>
      <c r="C156" s="124">
        <f>ROUND((SUMIF('2022 detail'!$AE:$AE,$A156,'2022 detail'!G:G)),0)</f>
        <v>54664</v>
      </c>
      <c r="D156" s="124">
        <f>ROUND((SUMIF('2022 detail'!$AE:$AE,$A156,'2022 detail'!H:H)),0)</f>
        <v>52757</v>
      </c>
      <c r="E156" s="124">
        <f t="shared" si="66"/>
        <v>1907</v>
      </c>
      <c r="F156" s="24">
        <f t="shared" si="67"/>
        <v>0.96509999999999996</v>
      </c>
      <c r="H156" s="124">
        <f>ROUND((SUMIF('2021 Detail'!$AE:$AE,$A156,'2021 Detail'!G:G)),0)</f>
        <v>60190</v>
      </c>
      <c r="I156" s="124">
        <f>ROUND((SUMIF('2022 detail'!$AE:$AE,$A156,'2022 detail'!AH:AH)),0)</f>
        <v>55152</v>
      </c>
      <c r="J156" s="124">
        <f t="shared" si="68"/>
        <v>5038</v>
      </c>
      <c r="K156" s="24">
        <f t="shared" si="69"/>
        <v>0.9163</v>
      </c>
      <c r="N156" s="136"/>
      <c r="O156" s="136"/>
      <c r="Q156" s="139"/>
      <c r="R156" s="139"/>
    </row>
    <row r="157" spans="1:18" x14ac:dyDescent="0.2">
      <c r="A157" s="84" t="s">
        <v>475</v>
      </c>
      <c r="B157" s="84" t="s">
        <v>986</v>
      </c>
      <c r="C157" s="124">
        <f>ROUND((SUMIF('2022 detail'!$AE:$AE,$A157,'2022 detail'!G:G)),0)</f>
        <v>201500</v>
      </c>
      <c r="D157" s="124">
        <f>ROUND((SUMIF('2022 detail'!$AE:$AE,$A157,'2022 detail'!H:H)),0)</f>
        <v>201750</v>
      </c>
      <c r="E157" s="124">
        <f t="shared" si="66"/>
        <v>-250</v>
      </c>
      <c r="F157" s="24">
        <f t="shared" si="67"/>
        <v>1.0012000000000001</v>
      </c>
      <c r="H157" s="124">
        <f>ROUND((SUMIF('2021 Detail'!$AE:$AE,$A157,'2021 Detail'!G:G)),0)</f>
        <v>201500</v>
      </c>
      <c r="I157" s="124">
        <f>ROUND((SUMIF('2022 detail'!$AE:$AE,$A157,'2022 detail'!AH:AH)),0)</f>
        <v>200937</v>
      </c>
      <c r="J157" s="124">
        <f t="shared" si="68"/>
        <v>563</v>
      </c>
      <c r="K157" s="24">
        <f t="shared" si="69"/>
        <v>0.99719999999999998</v>
      </c>
      <c r="N157" s="136"/>
      <c r="O157" s="136"/>
      <c r="Q157" s="139"/>
      <c r="R157" s="139"/>
    </row>
    <row r="158" spans="1:18" x14ac:dyDescent="0.2">
      <c r="A158" s="84" t="s">
        <v>476</v>
      </c>
      <c r="B158" s="84" t="s">
        <v>987</v>
      </c>
      <c r="C158" s="124">
        <f>ROUND((SUMIF('2022 detail'!$AE:$AE,$A158,'2022 detail'!G:G)),0)</f>
        <v>76704</v>
      </c>
      <c r="D158" s="124">
        <f>ROUND((SUMIF('2022 detail'!$AE:$AE,$A158,'2022 detail'!H:H)),0)</f>
        <v>76704</v>
      </c>
      <c r="E158" s="124">
        <f t="shared" si="66"/>
        <v>0</v>
      </c>
      <c r="F158" s="24">
        <f t="shared" si="67"/>
        <v>1</v>
      </c>
      <c r="H158" s="124">
        <f>ROUND((SUMIF('2021 Detail'!$AE:$AE,$A158,'2021 Detail'!G:G)),0)</f>
        <v>76703</v>
      </c>
      <c r="I158" s="124">
        <f>ROUND((SUMIF('2022 detail'!$AE:$AE,$A158,'2022 detail'!AH:AH)),0)</f>
        <v>73533</v>
      </c>
      <c r="J158" s="124">
        <f t="shared" si="68"/>
        <v>3170</v>
      </c>
      <c r="K158" s="24">
        <f t="shared" si="69"/>
        <v>0.9587</v>
      </c>
      <c r="N158" s="136"/>
      <c r="O158" s="136"/>
      <c r="Q158" s="139"/>
      <c r="R158" s="139"/>
    </row>
    <row r="159" spans="1:18" x14ac:dyDescent="0.2">
      <c r="A159" s="84" t="s">
        <v>477</v>
      </c>
      <c r="B159" s="84" t="s">
        <v>988</v>
      </c>
      <c r="C159" s="124">
        <f>ROUND((SUMIF('2022 detail'!$AE:$AE,$A159,'2022 detail'!G:G)),0)</f>
        <v>31067</v>
      </c>
      <c r="D159" s="124">
        <f>ROUND((SUMIF('2022 detail'!$AE:$AE,$A159,'2022 detail'!H:H)),0)</f>
        <v>31067</v>
      </c>
      <c r="E159" s="124">
        <f t="shared" si="66"/>
        <v>0</v>
      </c>
      <c r="F159" s="24">
        <f t="shared" si="67"/>
        <v>1</v>
      </c>
      <c r="H159" s="124">
        <f>ROUND((SUMIF('2021 Detail'!$AE:$AE,$A159,'2021 Detail'!G:G)),0)</f>
        <v>31067</v>
      </c>
      <c r="I159" s="124">
        <f>ROUND((SUMIF('2022 detail'!$AE:$AE,$A159,'2022 detail'!AH:AH)),0)</f>
        <v>31067</v>
      </c>
      <c r="J159" s="124">
        <f t="shared" si="68"/>
        <v>0</v>
      </c>
      <c r="K159" s="24">
        <f t="shared" si="69"/>
        <v>1</v>
      </c>
      <c r="N159" s="136"/>
      <c r="O159" s="136"/>
      <c r="Q159" s="139"/>
      <c r="R159" s="139"/>
    </row>
    <row r="160" spans="1:18" x14ac:dyDescent="0.2">
      <c r="A160" s="84" t="s">
        <v>478</v>
      </c>
      <c r="B160" s="84" t="s">
        <v>989</v>
      </c>
      <c r="C160" s="124">
        <f>ROUND((SUMIF('2022 detail'!$AE:$AE,$A160,'2022 detail'!G:G)),0)</f>
        <v>29476</v>
      </c>
      <c r="D160" s="124">
        <f>ROUND((SUMIF('2022 detail'!$AE:$AE,$A160,'2022 detail'!H:H)),0)</f>
        <v>26402</v>
      </c>
      <c r="E160" s="124">
        <f t="shared" si="66"/>
        <v>3074</v>
      </c>
      <c r="F160" s="24">
        <f t="shared" si="67"/>
        <v>0.89570000000000005</v>
      </c>
      <c r="H160" s="124">
        <f>ROUND((SUMIF('2021 Detail'!$AE:$AE,$A160,'2021 Detail'!G:G)),0)</f>
        <v>29476</v>
      </c>
      <c r="I160" s="124">
        <f>ROUND((SUMIF('2022 detail'!$AE:$AE,$A160,'2022 detail'!AH:AH)),0)</f>
        <v>25402</v>
      </c>
      <c r="J160" s="124">
        <f t="shared" si="68"/>
        <v>4074</v>
      </c>
      <c r="K160" s="24">
        <f t="shared" si="69"/>
        <v>0.86180000000000001</v>
      </c>
      <c r="N160" s="136"/>
      <c r="O160" s="136"/>
      <c r="Q160" s="139"/>
      <c r="R160" s="139"/>
    </row>
    <row r="161" spans="1:18" x14ac:dyDescent="0.2">
      <c r="A161" s="84" t="s">
        <v>479</v>
      </c>
      <c r="B161" s="84" t="s">
        <v>990</v>
      </c>
      <c r="C161" s="124">
        <f>ROUND((SUMIF('2022 detail'!$AE:$AE,$A161,'2022 detail'!G:G)),0)</f>
        <v>32483</v>
      </c>
      <c r="D161" s="124">
        <f>ROUND((SUMIF('2022 detail'!$AE:$AE,$A161,'2022 detail'!H:H)),0)</f>
        <v>32483</v>
      </c>
      <c r="E161" s="124">
        <f t="shared" si="66"/>
        <v>0</v>
      </c>
      <c r="F161" s="24">
        <f t="shared" si="67"/>
        <v>1</v>
      </c>
      <c r="H161" s="124">
        <f>ROUND((SUMIF('2021 Detail'!$AE:$AE,$A161,'2021 Detail'!G:G)),0)</f>
        <v>32482</v>
      </c>
      <c r="I161" s="124">
        <f>ROUND((SUMIF('2022 detail'!$AE:$AE,$A161,'2022 detail'!AH:AH)),0)</f>
        <v>32484</v>
      </c>
      <c r="J161" s="124">
        <f t="shared" si="68"/>
        <v>-2</v>
      </c>
      <c r="K161" s="24">
        <f t="shared" si="69"/>
        <v>1.0001</v>
      </c>
      <c r="N161" s="136"/>
      <c r="O161" s="136"/>
      <c r="Q161" s="139"/>
      <c r="R161" s="139"/>
    </row>
    <row r="162" spans="1:18" x14ac:dyDescent="0.2">
      <c r="A162" s="84" t="s">
        <v>480</v>
      </c>
      <c r="B162" s="84" t="s">
        <v>991</v>
      </c>
      <c r="C162" s="124">
        <f>ROUND((SUMIF('2022 detail'!$AE:$AE,$A162,'2022 detail'!G:G)),0)</f>
        <v>27395</v>
      </c>
      <c r="D162" s="124">
        <f>ROUND((SUMIF('2022 detail'!$AE:$AE,$A162,'2022 detail'!H:H)),0)</f>
        <v>27450</v>
      </c>
      <c r="E162" s="124">
        <f t="shared" si="66"/>
        <v>-55</v>
      </c>
      <c r="F162" s="24">
        <f t="shared" si="67"/>
        <v>1.002</v>
      </c>
      <c r="H162" s="124">
        <f>ROUND((SUMIF('2021 Detail'!$AE:$AE,$A162,'2021 Detail'!G:G)),0)</f>
        <v>27396</v>
      </c>
      <c r="I162" s="124">
        <f>ROUND((SUMIF('2022 detail'!$AE:$AE,$A162,'2022 detail'!AH:AH)),0)</f>
        <v>29150</v>
      </c>
      <c r="J162" s="124">
        <f t="shared" si="68"/>
        <v>-1754</v>
      </c>
      <c r="K162" s="24">
        <f t="shared" si="69"/>
        <v>1.0640000000000001</v>
      </c>
      <c r="N162" s="136"/>
      <c r="O162" s="136"/>
      <c r="Q162" s="139"/>
      <c r="R162" s="139"/>
    </row>
    <row r="163" spans="1:18" x14ac:dyDescent="0.2">
      <c r="B163" s="84"/>
      <c r="C163" s="130">
        <f>SUM(C154:C162)</f>
        <v>617639</v>
      </c>
      <c r="D163" s="130">
        <f t="shared" ref="D163:E163" si="70">SUM(D154:D162)</f>
        <v>592229</v>
      </c>
      <c r="E163" s="130">
        <f t="shared" si="70"/>
        <v>25410</v>
      </c>
      <c r="F163" s="131">
        <f t="shared" si="67"/>
        <v>0.95889999999999997</v>
      </c>
      <c r="G163" s="132"/>
      <c r="H163" s="130">
        <f>SUM(H154:H162)</f>
        <v>623163</v>
      </c>
      <c r="I163" s="130">
        <f t="shared" ref="I163" si="71">SUM(I154:I162)</f>
        <v>600704</v>
      </c>
      <c r="J163" s="130">
        <f t="shared" ref="J163" si="72">SUM(J154:J162)</f>
        <v>22459</v>
      </c>
      <c r="K163" s="131">
        <f t="shared" si="69"/>
        <v>0.96399999999999997</v>
      </c>
      <c r="N163" s="136">
        <f>COUNTIFS(F154:F162,"=1")</f>
        <v>3</v>
      </c>
      <c r="O163" s="136">
        <f>COUNTIFS(K154:K162,"=1")</f>
        <v>1</v>
      </c>
      <c r="Q163" s="139">
        <f>COUNTIFS(F154:F162,"&gt;1")</f>
        <v>2</v>
      </c>
      <c r="R163" s="139">
        <f>COUNTIFS(K154:K162,"&gt;1")</f>
        <v>2</v>
      </c>
    </row>
    <row r="164" spans="1:18" ht="15.75" x14ac:dyDescent="0.25">
      <c r="B164" s="85"/>
      <c r="N164" s="136"/>
      <c r="O164" s="136"/>
      <c r="Q164" s="139"/>
      <c r="R164" s="139"/>
    </row>
    <row r="165" spans="1:18" x14ac:dyDescent="0.2">
      <c r="B165" s="84" t="s">
        <v>992</v>
      </c>
      <c r="N165" s="136"/>
      <c r="O165" s="136"/>
      <c r="Q165" s="139"/>
      <c r="R165" s="139"/>
    </row>
    <row r="166" spans="1:18" ht="15.75" x14ac:dyDescent="0.25">
      <c r="B166" s="85"/>
      <c r="N166" s="136"/>
      <c r="O166" s="136"/>
      <c r="Q166" s="139"/>
      <c r="R166" s="139"/>
    </row>
    <row r="167" spans="1:18" x14ac:dyDescent="0.2">
      <c r="A167" s="84" t="s">
        <v>482</v>
      </c>
      <c r="B167" s="84" t="s">
        <v>993</v>
      </c>
      <c r="C167" s="124">
        <f>ROUND((SUMIF('2022 detail'!$AE:$AE,$A167,'2022 detail'!G:G)),0)</f>
        <v>18483</v>
      </c>
      <c r="D167" s="124">
        <f>ROUND((SUMIF('2022 detail'!$AE:$AE,$A167,'2022 detail'!H:H)),0)</f>
        <v>18480</v>
      </c>
      <c r="E167" s="124">
        <f>ROUND((C167-D167),0)</f>
        <v>3</v>
      </c>
      <c r="F167" s="24">
        <f>ROUND((D167/C167),4)</f>
        <v>0.99980000000000002</v>
      </c>
      <c r="H167" s="127">
        <f>ROUND((SUMIF('2021 Detail'!$AE:$AE,$A167,'2021 Detail'!G:G)),0)</f>
        <v>18482</v>
      </c>
      <c r="I167" s="124">
        <f>ROUND((SUMIF('2022 detail'!$AE:$AE,$A167,'2022 detail'!AH:AH)),0)</f>
        <v>18485</v>
      </c>
      <c r="J167" s="124">
        <f>ROUND((H167-I167),0)</f>
        <v>-3</v>
      </c>
      <c r="K167" s="24">
        <f>ROUND((I167/H167),4)</f>
        <v>1.0002</v>
      </c>
      <c r="N167" s="136"/>
      <c r="O167" s="136"/>
      <c r="Q167" s="139"/>
      <c r="R167" s="139"/>
    </row>
    <row r="168" spans="1:18" x14ac:dyDescent="0.2">
      <c r="A168" s="84" t="s">
        <v>483</v>
      </c>
      <c r="B168" s="84" t="s">
        <v>994</v>
      </c>
      <c r="C168" s="124">
        <f>ROUND((SUMIF('2022 detail'!$AE:$AE,$A168,'2022 detail'!G:G)),0)</f>
        <v>79380</v>
      </c>
      <c r="D168" s="124">
        <f>ROUND((SUMIF('2022 detail'!$AE:$AE,$A168,'2022 detail'!H:H)),0)</f>
        <v>61876</v>
      </c>
      <c r="E168" s="124">
        <f t="shared" ref="E168:E181" si="73">ROUND((C168-D168),0)</f>
        <v>17504</v>
      </c>
      <c r="F168" s="24">
        <f t="shared" ref="F168:F189" si="74">ROUND((D168/C168),4)</f>
        <v>0.77949999999999997</v>
      </c>
      <c r="H168" s="127">
        <f>ROUND((SUMIF('2021 Detail'!$AE:$AE,$A168,'2021 Detail'!G:G)),0)</f>
        <v>79379</v>
      </c>
      <c r="I168" s="124">
        <f>ROUND((SUMIF('2022 detail'!$AE:$AE,$A168,'2022 detail'!AH:AH)),0)</f>
        <v>77379</v>
      </c>
      <c r="J168" s="124">
        <f t="shared" ref="J168:J181" si="75">ROUND((H168-I168),0)</f>
        <v>2000</v>
      </c>
      <c r="K168" s="24">
        <f t="shared" ref="K168:K182" si="76">ROUND((I168/H168),4)</f>
        <v>0.9748</v>
      </c>
      <c r="N168" s="136"/>
      <c r="O168" s="136"/>
      <c r="Q168" s="139"/>
      <c r="R168" s="139"/>
    </row>
    <row r="169" spans="1:18" x14ac:dyDescent="0.2">
      <c r="A169" s="84" t="s">
        <v>481</v>
      </c>
      <c r="B169" s="84" t="s">
        <v>995</v>
      </c>
      <c r="C169" s="124">
        <f>ROUND((SUMIF('2022 detail'!$AE:$AE,$A169,'2022 detail'!G:G)),0)</f>
        <v>65685</v>
      </c>
      <c r="D169" s="124">
        <f>ROUND((SUMIF('2022 detail'!$AE:$AE,$A169,'2022 detail'!H:H)),0)</f>
        <v>53739</v>
      </c>
      <c r="E169" s="124">
        <f t="shared" si="73"/>
        <v>11946</v>
      </c>
      <c r="F169" s="24">
        <f t="shared" si="74"/>
        <v>0.81810000000000005</v>
      </c>
      <c r="H169" s="127">
        <f>ROUND((SUMIF('2021 Detail'!$AE:$AE,$A169,'2021 Detail'!G:G)),0)</f>
        <v>65685</v>
      </c>
      <c r="I169" s="124">
        <f>ROUND((SUMIF('2022 detail'!$AE:$AE,$A169,'2022 detail'!AH:AH)),0)</f>
        <v>38005</v>
      </c>
      <c r="J169" s="124">
        <f t="shared" si="75"/>
        <v>27680</v>
      </c>
      <c r="K169" s="24">
        <f t="shared" si="76"/>
        <v>0.5786</v>
      </c>
      <c r="N169" s="136"/>
      <c r="O169" s="136"/>
      <c r="Q169" s="139"/>
      <c r="R169" s="139"/>
    </row>
    <row r="170" spans="1:18" x14ac:dyDescent="0.2">
      <c r="A170" s="84" t="s">
        <v>488</v>
      </c>
      <c r="B170" s="84" t="s">
        <v>996</v>
      </c>
      <c r="C170" s="124">
        <f>ROUND((SUMIF('2022 detail'!$AE:$AE,$A170,'2022 detail'!G:G)),0)</f>
        <v>72842</v>
      </c>
      <c r="D170" s="124">
        <f>ROUND((SUMIF('2022 detail'!$AE:$AE,$A170,'2022 detail'!H:H)),0)</f>
        <v>40961</v>
      </c>
      <c r="E170" s="124">
        <f t="shared" si="73"/>
        <v>31881</v>
      </c>
      <c r="F170" s="24">
        <f t="shared" si="74"/>
        <v>0.56230000000000002</v>
      </c>
      <c r="H170" s="127">
        <f>ROUND((SUMIF('2021 Detail'!$AE:$AE,$A170,'2021 Detail'!G:G)),0)</f>
        <v>72841</v>
      </c>
      <c r="I170" s="124">
        <f>ROUND((SUMIF('2022 detail'!$AE:$AE,$A170,'2022 detail'!AH:AH)),0)</f>
        <v>36310</v>
      </c>
      <c r="J170" s="124">
        <f t="shared" si="75"/>
        <v>36531</v>
      </c>
      <c r="K170" s="24">
        <f t="shared" si="76"/>
        <v>0.4985</v>
      </c>
      <c r="N170" s="136"/>
      <c r="O170" s="136"/>
      <c r="Q170" s="139"/>
      <c r="R170" s="139"/>
    </row>
    <row r="171" spans="1:18" x14ac:dyDescent="0.2">
      <c r="A171" s="84" t="s">
        <v>997</v>
      </c>
      <c r="B171" s="84" t="s">
        <v>998</v>
      </c>
      <c r="C171" s="124">
        <f>ROUND((SUMIF('2022 detail'!$AE:$AE,$A171,'2022 detail'!G:G)),0)</f>
        <v>84192</v>
      </c>
      <c r="D171" s="124">
        <f>ROUND((SUMIF('2022 detail'!$AE:$AE,$A171,'2022 detail'!H:H)),0)</f>
        <v>84192</v>
      </c>
      <c r="E171" s="124">
        <f t="shared" si="73"/>
        <v>0</v>
      </c>
      <c r="F171" s="24">
        <f t="shared" si="74"/>
        <v>1</v>
      </c>
      <c r="H171" s="127">
        <f>ROUND((SUMIF('2021 Detail'!$AE:$AE,$A171,'2021 Detail'!G:G)),0)</f>
        <v>84193</v>
      </c>
      <c r="I171" s="124">
        <f>ROUND((SUMIF('2022 detail'!$AE:$AE,$A171,'2022 detail'!AH:AH)),0)</f>
        <v>84193</v>
      </c>
      <c r="J171" s="124">
        <f t="shared" si="75"/>
        <v>0</v>
      </c>
      <c r="K171" s="24">
        <f t="shared" si="76"/>
        <v>1</v>
      </c>
      <c r="N171" s="136"/>
      <c r="O171" s="136"/>
      <c r="Q171" s="139"/>
      <c r="R171" s="139"/>
    </row>
    <row r="172" spans="1:18" x14ac:dyDescent="0.2">
      <c r="A172" s="84" t="s">
        <v>484</v>
      </c>
      <c r="B172" s="84" t="s">
        <v>999</v>
      </c>
      <c r="C172" s="124">
        <f>ROUND((SUMIF('2022 detail'!$AE:$AE,$A172,'2022 detail'!G:G)),0)</f>
        <v>59729</v>
      </c>
      <c r="D172" s="124">
        <f>ROUND((SUMIF('2022 detail'!$AE:$AE,$A172,'2022 detail'!H:H)),0)</f>
        <v>39819</v>
      </c>
      <c r="E172" s="124">
        <f t="shared" si="73"/>
        <v>19910</v>
      </c>
      <c r="F172" s="24">
        <f t="shared" si="74"/>
        <v>0.66669999999999996</v>
      </c>
      <c r="H172" s="127">
        <f>ROUND((SUMIF('2021 Detail'!$AE:$AE,$A172,'2021 Detail'!G:G)),0)</f>
        <v>59729</v>
      </c>
      <c r="I172" s="124">
        <f>ROUND((SUMIF('2022 detail'!$AE:$AE,$A172,'2022 detail'!AH:AH)),0)</f>
        <v>39819</v>
      </c>
      <c r="J172" s="124">
        <f t="shared" si="75"/>
        <v>19910</v>
      </c>
      <c r="K172" s="24">
        <f t="shared" si="76"/>
        <v>0.66669999999999996</v>
      </c>
      <c r="N172" s="136"/>
      <c r="O172" s="136"/>
      <c r="Q172" s="139"/>
      <c r="R172" s="139"/>
    </row>
    <row r="173" spans="1:18" x14ac:dyDescent="0.2">
      <c r="A173" s="84" t="s">
        <v>489</v>
      </c>
      <c r="B173" s="84" t="s">
        <v>1000</v>
      </c>
      <c r="C173" s="124">
        <f>ROUND((SUMIF('2022 detail'!$AE:$AE,$A173,'2022 detail'!G:G)),0)</f>
        <v>72321</v>
      </c>
      <c r="D173" s="124">
        <f>ROUND((SUMIF('2022 detail'!$AE:$AE,$A173,'2022 detail'!H:H)),0)</f>
        <v>72321</v>
      </c>
      <c r="E173" s="124">
        <f t="shared" si="73"/>
        <v>0</v>
      </c>
      <c r="F173" s="24">
        <f t="shared" si="74"/>
        <v>1</v>
      </c>
      <c r="H173" s="127">
        <f>ROUND((SUMIF('2021 Detail'!$AE:$AE,$A173,'2021 Detail'!G:G)),0)</f>
        <v>72321</v>
      </c>
      <c r="I173" s="124">
        <f>ROUND((SUMIF('2022 detail'!$AE:$AE,$A173,'2022 detail'!AH:AH)),0)</f>
        <v>72321</v>
      </c>
      <c r="J173" s="124">
        <f t="shared" si="75"/>
        <v>0</v>
      </c>
      <c r="K173" s="24">
        <f t="shared" si="76"/>
        <v>1</v>
      </c>
      <c r="N173" s="136"/>
      <c r="O173" s="136"/>
      <c r="Q173" s="139"/>
      <c r="R173" s="139"/>
    </row>
    <row r="174" spans="1:18" x14ac:dyDescent="0.2">
      <c r="A174" s="84" t="s">
        <v>490</v>
      </c>
      <c r="B174" s="84" t="s">
        <v>1001</v>
      </c>
      <c r="C174" s="124">
        <f>ROUND((SUMIF('2022 detail'!$AE:$AE,$A174,'2022 detail'!G:G)),0)</f>
        <v>22718</v>
      </c>
      <c r="D174" s="124">
        <f>ROUND((SUMIF('2022 detail'!$AE:$AE,$A174,'2022 detail'!H:H)),0)</f>
        <v>19000</v>
      </c>
      <c r="E174" s="124">
        <f t="shared" si="73"/>
        <v>3718</v>
      </c>
      <c r="F174" s="24">
        <f t="shared" si="74"/>
        <v>0.83630000000000004</v>
      </c>
      <c r="H174" s="127">
        <f>ROUND((SUMIF('2021 Detail'!$AE:$AE,$A174,'2021 Detail'!G:G)),0)</f>
        <v>22717</v>
      </c>
      <c r="I174" s="124">
        <f>ROUND((SUMIF('2022 detail'!$AE:$AE,$A174,'2022 detail'!AH:AH)),0)</f>
        <v>17250</v>
      </c>
      <c r="J174" s="124">
        <f t="shared" si="75"/>
        <v>5467</v>
      </c>
      <c r="K174" s="24">
        <f t="shared" si="76"/>
        <v>0.75929999999999997</v>
      </c>
      <c r="N174" s="136"/>
      <c r="O174" s="136"/>
      <c r="Q174" s="139"/>
      <c r="R174" s="139"/>
    </row>
    <row r="175" spans="1:18" x14ac:dyDescent="0.2">
      <c r="A175" s="84" t="s">
        <v>485</v>
      </c>
      <c r="B175" s="84" t="s">
        <v>1002</v>
      </c>
      <c r="C175" s="124">
        <f>ROUND((SUMIF('2022 detail'!$AE:$AE,$A175,'2022 detail'!G:G)),0)</f>
        <v>70174</v>
      </c>
      <c r="D175" s="124">
        <f>ROUND((SUMIF('2022 detail'!$AE:$AE,$A175,'2022 detail'!H:H)),0)</f>
        <v>70174</v>
      </c>
      <c r="E175" s="124">
        <f t="shared" si="73"/>
        <v>0</v>
      </c>
      <c r="F175" s="24">
        <f t="shared" si="74"/>
        <v>1</v>
      </c>
      <c r="H175" s="127">
        <f>ROUND((SUMIF('2021 Detail'!$AE:$AE,$A175,'2021 Detail'!G:G)),0)</f>
        <v>70173</v>
      </c>
      <c r="I175" s="124">
        <f>ROUND((SUMIF('2022 detail'!$AE:$AE,$A175,'2022 detail'!AH:AH)),0)</f>
        <v>70173</v>
      </c>
      <c r="J175" s="124">
        <f t="shared" si="75"/>
        <v>0</v>
      </c>
      <c r="K175" s="24">
        <f t="shared" si="76"/>
        <v>1</v>
      </c>
      <c r="N175" s="136"/>
      <c r="O175" s="136"/>
      <c r="Q175" s="139"/>
      <c r="R175" s="139"/>
    </row>
    <row r="176" spans="1:18" x14ac:dyDescent="0.2">
      <c r="A176" s="84" t="s">
        <v>491</v>
      </c>
      <c r="B176" s="84" t="s">
        <v>1003</v>
      </c>
      <c r="C176" s="124">
        <f>ROUND((SUMIF('2022 detail'!$AE:$AE,$A176,'2022 detail'!G:G)),0)</f>
        <v>24665</v>
      </c>
      <c r="D176" s="124">
        <f>ROUND((SUMIF('2022 detail'!$AE:$AE,$A176,'2022 detail'!H:H)),0)</f>
        <v>17500</v>
      </c>
      <c r="E176" s="124">
        <f t="shared" si="73"/>
        <v>7165</v>
      </c>
      <c r="F176" s="24">
        <f t="shared" si="74"/>
        <v>0.70950000000000002</v>
      </c>
      <c r="H176" s="127">
        <f>ROUND((SUMIF('2021 Detail'!$AE:$AE,$A176,'2021 Detail'!G:G)),0)</f>
        <v>24665</v>
      </c>
      <c r="I176" s="124">
        <f>ROUND((SUMIF('2022 detail'!$AE:$AE,$A176,'2022 detail'!AH:AH)),0)</f>
        <v>14000</v>
      </c>
      <c r="J176" s="124">
        <f t="shared" si="75"/>
        <v>10665</v>
      </c>
      <c r="K176" s="24">
        <f t="shared" si="76"/>
        <v>0.56759999999999999</v>
      </c>
      <c r="N176" s="136"/>
      <c r="O176" s="136"/>
      <c r="Q176" s="139"/>
      <c r="R176" s="139"/>
    </row>
    <row r="177" spans="1:18" x14ac:dyDescent="0.2">
      <c r="A177" s="84" t="s">
        <v>492</v>
      </c>
      <c r="B177" s="84" t="s">
        <v>1004</v>
      </c>
      <c r="C177" s="124">
        <f>ROUND((SUMIF('2022 detail'!$AE:$AE,$A177,'2022 detail'!G:G)),0)</f>
        <v>47704</v>
      </c>
      <c r="D177" s="124">
        <f>ROUND((SUMIF('2022 detail'!$AE:$AE,$A177,'2022 detail'!H:H)),0)</f>
        <v>47703</v>
      </c>
      <c r="E177" s="124">
        <f t="shared" si="73"/>
        <v>1</v>
      </c>
      <c r="F177" s="24">
        <f t="shared" si="74"/>
        <v>1</v>
      </c>
      <c r="H177" s="127">
        <f>ROUND((SUMIF('2021 Detail'!$AE:$AE,$A177,'2021 Detail'!G:G)),0)</f>
        <v>47703</v>
      </c>
      <c r="I177" s="124">
        <f>ROUND((SUMIF('2022 detail'!$AE:$AE,$A177,'2022 detail'!AH:AH)),0)</f>
        <v>47703</v>
      </c>
      <c r="J177" s="124">
        <f t="shared" si="75"/>
        <v>0</v>
      </c>
      <c r="K177" s="24">
        <f t="shared" si="76"/>
        <v>1</v>
      </c>
      <c r="N177" s="136"/>
      <c r="O177" s="136"/>
      <c r="Q177" s="139"/>
      <c r="R177" s="139"/>
    </row>
    <row r="178" spans="1:18" x14ac:dyDescent="0.2">
      <c r="A178" s="84" t="s">
        <v>486</v>
      </c>
      <c r="B178" s="84" t="s">
        <v>1005</v>
      </c>
      <c r="C178" s="124">
        <f>ROUND((SUMIF('2022 detail'!$AE:$AE,$A178,'2022 detail'!G:G)),0)</f>
        <v>67269</v>
      </c>
      <c r="D178" s="124">
        <f>ROUND((SUMIF('2022 detail'!$AE:$AE,$A178,'2022 detail'!H:H)),0)</f>
        <v>67269</v>
      </c>
      <c r="E178" s="124">
        <f t="shared" si="73"/>
        <v>0</v>
      </c>
      <c r="F178" s="24">
        <f t="shared" si="74"/>
        <v>1</v>
      </c>
      <c r="H178" s="127">
        <f>ROUND((SUMIF('2021 Detail'!$AE:$AE,$A178,'2021 Detail'!G:G)),0)</f>
        <v>67268</v>
      </c>
      <c r="I178" s="124">
        <f>ROUND((SUMIF('2022 detail'!$AE:$AE,$A178,'2022 detail'!AH:AH)),0)</f>
        <v>67268</v>
      </c>
      <c r="J178" s="124">
        <f t="shared" si="75"/>
        <v>0</v>
      </c>
      <c r="K178" s="24">
        <f t="shared" si="76"/>
        <v>1</v>
      </c>
      <c r="N178" s="136"/>
      <c r="O178" s="136"/>
      <c r="Q178" s="139"/>
      <c r="R178" s="139"/>
    </row>
    <row r="179" spans="1:18" x14ac:dyDescent="0.2">
      <c r="A179" s="84" t="s">
        <v>493</v>
      </c>
      <c r="B179" s="84" t="s">
        <v>1006</v>
      </c>
      <c r="C179" s="124">
        <f>ROUND((SUMIF('2022 detail'!$AE:$AE,$A179,'2022 detail'!G:G)),0)</f>
        <v>25385</v>
      </c>
      <c r="D179" s="124">
        <f>ROUND((SUMIF('2022 detail'!$AE:$AE,$A179,'2022 detail'!H:H)),0)</f>
        <v>30000</v>
      </c>
      <c r="E179" s="124">
        <f t="shared" si="73"/>
        <v>-4615</v>
      </c>
      <c r="F179" s="24">
        <f t="shared" si="74"/>
        <v>1.1818</v>
      </c>
      <c r="H179" s="127">
        <f>ROUND((SUMIF('2021 Detail'!$AE:$AE,$A179,'2021 Detail'!G:G)),0)</f>
        <v>25385</v>
      </c>
      <c r="I179" s="124">
        <f>ROUND((SUMIF('2022 detail'!$AE:$AE,$A179,'2022 detail'!AH:AH)),0)</f>
        <v>28080</v>
      </c>
      <c r="J179" s="124">
        <f t="shared" si="75"/>
        <v>-2695</v>
      </c>
      <c r="K179" s="24">
        <f t="shared" si="76"/>
        <v>1.1062000000000001</v>
      </c>
      <c r="N179" s="136"/>
      <c r="O179" s="136"/>
      <c r="Q179" s="139"/>
      <c r="R179" s="139"/>
    </row>
    <row r="180" spans="1:18" x14ac:dyDescent="0.2">
      <c r="A180" s="84" t="s">
        <v>487</v>
      </c>
      <c r="B180" s="84" t="s">
        <v>1007</v>
      </c>
      <c r="C180" s="124">
        <f>ROUND((SUMIF('2022 detail'!$AE:$AE,$A180,'2022 detail'!G:G)),0)</f>
        <v>148597</v>
      </c>
      <c r="D180" s="124">
        <f>ROUND((SUMIF('2022 detail'!$AE:$AE,$A180,'2022 detail'!H:H)),0)</f>
        <v>148597</v>
      </c>
      <c r="E180" s="124">
        <f t="shared" si="73"/>
        <v>0</v>
      </c>
      <c r="F180" s="24">
        <f t="shared" si="74"/>
        <v>1</v>
      </c>
      <c r="H180" s="127">
        <f>ROUND((SUMIF('2021 Detail'!$AE:$AE,$A180,'2021 Detail'!G:G)),0)</f>
        <v>148596</v>
      </c>
      <c r="I180" s="124">
        <f>ROUND((SUMIF('2022 detail'!$AE:$AE,$A180,'2022 detail'!AH:AH)),0)</f>
        <v>148596</v>
      </c>
      <c r="J180" s="124">
        <f t="shared" si="75"/>
        <v>0</v>
      </c>
      <c r="K180" s="24">
        <f t="shared" si="76"/>
        <v>1</v>
      </c>
      <c r="N180" s="136"/>
      <c r="O180" s="136"/>
      <c r="Q180" s="139"/>
      <c r="R180" s="139"/>
    </row>
    <row r="181" spans="1:18" x14ac:dyDescent="0.2">
      <c r="A181" s="84" t="s">
        <v>494</v>
      </c>
      <c r="B181" s="84" t="s">
        <v>1008</v>
      </c>
      <c r="C181" s="127">
        <f>ROUND((SUMIF('2022 detail'!$AE:$AE,$A181,'2022 detail'!G:G)),0)</f>
        <v>73261</v>
      </c>
      <c r="D181" s="127">
        <f>ROUND((SUMIF('2022 detail'!$AE:$AE,$A181,'2022 detail'!H:H)),0)</f>
        <v>73261</v>
      </c>
      <c r="E181" s="127">
        <f t="shared" si="73"/>
        <v>0</v>
      </c>
      <c r="F181" s="133">
        <f t="shared" si="74"/>
        <v>1</v>
      </c>
      <c r="G181" s="6"/>
      <c r="H181" s="127">
        <f>ROUND((SUMIF('2021 Detail'!$AE:$AE,$A181,'2021 Detail'!G:G)),0)</f>
        <v>73261</v>
      </c>
      <c r="I181" s="124">
        <f>ROUND((SUMIF('2022 detail'!$AE:$AE,$A181,'2022 detail'!AH:AH)),0)</f>
        <v>73261</v>
      </c>
      <c r="J181" s="127">
        <f t="shared" si="75"/>
        <v>0</v>
      </c>
      <c r="K181" s="133">
        <f t="shared" si="76"/>
        <v>1</v>
      </c>
      <c r="N181" s="136"/>
      <c r="O181" s="136"/>
      <c r="Q181" s="139"/>
      <c r="R181" s="139"/>
    </row>
    <row r="182" spans="1:18" ht="15.75" x14ac:dyDescent="0.25">
      <c r="B182" s="85"/>
      <c r="C182" s="130">
        <f>SUM(C167:C181)</f>
        <v>932405</v>
      </c>
      <c r="D182" s="130">
        <f t="shared" ref="D182:E182" si="77">SUM(D167:D181)</f>
        <v>844892</v>
      </c>
      <c r="E182" s="130">
        <f t="shared" si="77"/>
        <v>87513</v>
      </c>
      <c r="F182" s="131">
        <f t="shared" si="74"/>
        <v>0.90610000000000002</v>
      </c>
      <c r="G182" s="132"/>
      <c r="H182" s="130">
        <f>SUM(H167:H181)</f>
        <v>932398</v>
      </c>
      <c r="I182" s="130">
        <f t="shared" ref="I182" si="78">SUM(I167:I181)</f>
        <v>832843</v>
      </c>
      <c r="J182" s="130">
        <f t="shared" ref="J182" si="79">SUM(J167:J181)</f>
        <v>99555</v>
      </c>
      <c r="K182" s="131">
        <f t="shared" si="76"/>
        <v>0.89319999999999999</v>
      </c>
      <c r="N182" s="136">
        <f>COUNTIFS(F167:F181,"=1")</f>
        <v>7</v>
      </c>
      <c r="O182" s="136">
        <f>COUNTIFS(K167:K181,"=1")</f>
        <v>7</v>
      </c>
      <c r="Q182" s="139">
        <f>COUNTIFS(F167:F181,"&gt;1")</f>
        <v>1</v>
      </c>
      <c r="R182" s="139">
        <f>COUNTIFS(K167:K181,"&gt;1")</f>
        <v>2</v>
      </c>
    </row>
    <row r="183" spans="1:18" x14ac:dyDescent="0.2">
      <c r="C183" s="124"/>
      <c r="D183" s="124"/>
      <c r="E183" s="124"/>
      <c r="F183" s="24"/>
      <c r="H183" s="124"/>
      <c r="I183" s="124"/>
      <c r="J183" s="124"/>
      <c r="N183" s="136"/>
      <c r="O183" s="136"/>
      <c r="Q183" s="139"/>
      <c r="R183" s="139"/>
    </row>
    <row r="184" spans="1:18" x14ac:dyDescent="0.2">
      <c r="C184" s="124"/>
      <c r="D184" s="124"/>
      <c r="E184" s="124"/>
      <c r="F184" s="24"/>
      <c r="H184" s="124"/>
      <c r="I184" s="124"/>
      <c r="J184" s="124"/>
      <c r="N184" s="136"/>
      <c r="O184" s="136"/>
      <c r="Q184" s="139"/>
      <c r="R184" s="139"/>
    </row>
    <row r="186" spans="1:18" x14ac:dyDescent="0.2">
      <c r="B186" s="86" t="s">
        <v>1010</v>
      </c>
      <c r="C186" s="124">
        <f>C118+C129+C139+C150+C163+C182</f>
        <v>3815253</v>
      </c>
      <c r="D186" s="124">
        <f>D118+D129+D139+D150+D163+D182</f>
        <v>3305716</v>
      </c>
      <c r="E186" s="124">
        <f t="shared" ref="E186" si="80">ROUND((C186-D186),0)</f>
        <v>509537</v>
      </c>
      <c r="F186" s="24">
        <f t="shared" si="74"/>
        <v>0.86639999999999995</v>
      </c>
      <c r="H186" s="124">
        <f>H118+H129+H139+H150+H163+H182</f>
        <v>3820775</v>
      </c>
      <c r="I186" s="124">
        <f>I118+I129+I139+I150+I163+I182</f>
        <v>3383233</v>
      </c>
      <c r="J186" s="124">
        <f t="shared" ref="J186" si="81">ROUND((H186-I186),0)</f>
        <v>437542</v>
      </c>
      <c r="K186" s="24">
        <f t="shared" ref="K186:K189" si="82">ROUND((I186/H186),4)</f>
        <v>0.88549999999999995</v>
      </c>
      <c r="N186" s="137">
        <f>N118+N129+N139+N150+N163+N182</f>
        <v>19</v>
      </c>
      <c r="O186" s="137">
        <f>O118+O129+O139+O150+O163+O182</f>
        <v>16</v>
      </c>
      <c r="Q186" s="140">
        <f>Q118+Q129+Q139+Q150+Q163+Q182</f>
        <v>4</v>
      </c>
      <c r="R186" s="140">
        <f>R118+R129+R139+R150+R163+R182</f>
        <v>5</v>
      </c>
    </row>
    <row r="187" spans="1:18" x14ac:dyDescent="0.2">
      <c r="B187" s="86"/>
      <c r="C187" s="124"/>
      <c r="D187" s="124"/>
      <c r="E187" s="124"/>
      <c r="F187" s="24"/>
      <c r="H187" s="124"/>
      <c r="I187" s="124"/>
      <c r="J187" s="124"/>
      <c r="K187" s="24"/>
      <c r="N187" s="137"/>
      <c r="O187" s="137"/>
      <c r="Q187" s="140"/>
      <c r="R187" s="140"/>
    </row>
    <row r="188" spans="1:18" x14ac:dyDescent="0.2">
      <c r="B188" s="86"/>
      <c r="C188" s="124"/>
      <c r="D188" s="124"/>
      <c r="E188" s="124"/>
      <c r="F188" s="24"/>
      <c r="H188" s="124"/>
      <c r="I188" s="124"/>
      <c r="J188" s="124"/>
      <c r="K188" s="24"/>
      <c r="N188" s="137"/>
      <c r="O188" s="137"/>
      <c r="Q188" s="140"/>
      <c r="R188" s="140"/>
    </row>
    <row r="189" spans="1:18" x14ac:dyDescent="0.2">
      <c r="B189" s="86" t="s">
        <v>1011</v>
      </c>
      <c r="C189" s="124">
        <f>C98+C186</f>
        <v>8116012</v>
      </c>
      <c r="D189" s="124">
        <f t="shared" ref="D189:E189" si="83">D98+D186</f>
        <v>6559279</v>
      </c>
      <c r="E189" s="124">
        <f t="shared" si="83"/>
        <v>1556733</v>
      </c>
      <c r="F189" s="24">
        <f t="shared" si="74"/>
        <v>0.80820000000000003</v>
      </c>
      <c r="H189" s="124">
        <f>H98+H186</f>
        <v>8132853</v>
      </c>
      <c r="I189" s="124">
        <f t="shared" ref="I189:J189" si="84">I98+I186</f>
        <v>6587994</v>
      </c>
      <c r="J189" s="124">
        <f t="shared" si="84"/>
        <v>1544859</v>
      </c>
      <c r="K189" s="24">
        <f t="shared" si="82"/>
        <v>0.81</v>
      </c>
      <c r="N189" s="137">
        <f>SUM(N98:N186)</f>
        <v>52</v>
      </c>
      <c r="O189" s="137">
        <f>SUM(O98:O186)</f>
        <v>44</v>
      </c>
      <c r="Q189" s="140">
        <f>SUM(Q98:Q186)</f>
        <v>9</v>
      </c>
      <c r="R189" s="140">
        <f>SUM(R98:R186)</f>
        <v>12</v>
      </c>
    </row>
    <row r="190" spans="1:18" x14ac:dyDescent="0.2">
      <c r="C190" s="124"/>
      <c r="D190" s="124"/>
      <c r="E190" s="124"/>
      <c r="H190" s="124"/>
      <c r="I190" s="124"/>
      <c r="J190" s="124"/>
    </row>
    <row r="191" spans="1:18" x14ac:dyDescent="0.2">
      <c r="C191" s="124"/>
      <c r="D191" s="124"/>
      <c r="E191" s="124"/>
      <c r="H191" s="124"/>
      <c r="I191" s="124"/>
      <c r="J191" s="124"/>
    </row>
    <row r="192" spans="1:18" x14ac:dyDescent="0.2">
      <c r="C192" s="124"/>
      <c r="D192" s="124"/>
      <c r="E192" s="124"/>
      <c r="H192" s="124"/>
      <c r="I192" s="124"/>
      <c r="J192" s="124"/>
    </row>
    <row r="193" spans="8:10" x14ac:dyDescent="0.2">
      <c r="H193" s="124"/>
      <c r="I193" s="124"/>
      <c r="J193" s="124"/>
    </row>
  </sheetData>
  <printOptions horizontalCentered="1"/>
  <pageMargins left="0" right="0" top="0.59055118110236227" bottom="0" header="0.31496062992125984" footer="0.31496062992125984"/>
  <pageSetup paperSize="9" scale="56" orientation="landscape" r:id="rId1"/>
  <rowBreaks count="3" manualBreakCount="3">
    <brk id="64" max="10" man="1"/>
    <brk id="104" max="10" man="1"/>
    <brk id="15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3"/>
  <sheetViews>
    <sheetView topLeftCell="G46" zoomScale="80" zoomScaleNormal="80" workbookViewId="0">
      <selection activeCell="H77" sqref="H77"/>
    </sheetView>
  </sheetViews>
  <sheetFormatPr defaultRowHeight="15" x14ac:dyDescent="0.2"/>
  <cols>
    <col min="1" max="1" width="35.77734375" style="144" bestFit="1" customWidth="1"/>
    <col min="2" max="3" width="4.88671875" style="7" hidden="1" customWidth="1"/>
    <col min="4" max="4" width="5.77734375" style="9" hidden="1" customWidth="1"/>
    <col min="5" max="5" width="1.33203125" style="7" hidden="1" customWidth="1"/>
    <col min="6" max="6" width="7.33203125" style="7" hidden="1" customWidth="1"/>
    <col min="7" max="7" width="14.109375" style="21" customWidth="1"/>
    <col min="8" max="8" width="13.21875" style="15" customWidth="1"/>
    <col min="9" max="9" width="8.6640625" style="6" customWidth="1"/>
    <col min="10" max="18" width="11.6640625" style="6" customWidth="1"/>
    <col min="19" max="21" width="11.6640625" customWidth="1"/>
    <col min="22" max="22" width="10" style="7" customWidth="1"/>
    <col min="23" max="23" width="12.109375" style="81" customWidth="1"/>
    <col min="24" max="24" width="3.6640625" style="7" customWidth="1"/>
    <col min="25" max="25" width="7.21875" style="7" hidden="1" customWidth="1"/>
    <col min="26" max="26" width="3.6640625" style="7" hidden="1" customWidth="1"/>
    <col min="27" max="27" width="11.88671875" style="6" bestFit="1" customWidth="1"/>
    <col min="28" max="29" width="12.33203125" style="6" customWidth="1"/>
    <col min="30" max="30" width="2.6640625" customWidth="1"/>
    <col min="31" max="31" width="10.6640625" style="7" customWidth="1"/>
    <col min="32" max="32" width="3.77734375" customWidth="1"/>
    <col min="33" max="33" width="3.6640625" customWidth="1"/>
    <col min="34" max="34" width="12.109375" customWidth="1"/>
    <col min="35" max="35" width="1.6640625" customWidth="1"/>
    <col min="36" max="36" width="12.33203125" customWidth="1"/>
    <col min="37" max="37" width="2.77734375" customWidth="1"/>
    <col min="38" max="38" width="8.88671875" customWidth="1"/>
    <col min="39" max="39" width="13" hidden="1" customWidth="1"/>
    <col min="40" max="41" width="8.88671875" hidden="1" customWidth="1"/>
    <col min="42" max="42" width="5.77734375" hidden="1" customWidth="1"/>
    <col min="43" max="43" width="10.44140625" style="23" hidden="1" customWidth="1"/>
    <col min="44" max="44" width="0" hidden="1" customWidth="1"/>
    <col min="45" max="45" width="9.5546875" hidden="1" customWidth="1"/>
    <col min="46" max="46" width="11.88671875" hidden="1" customWidth="1"/>
  </cols>
  <sheetData>
    <row r="1" spans="1:43" ht="15.75" x14ac:dyDescent="0.25">
      <c r="G1" s="196" t="s">
        <v>0</v>
      </c>
      <c r="H1" s="197"/>
      <c r="I1" s="198"/>
      <c r="J1" s="194"/>
      <c r="K1" s="194"/>
      <c r="L1" s="194"/>
      <c r="M1" s="194"/>
      <c r="N1" s="194"/>
      <c r="O1" s="194"/>
      <c r="P1" s="194"/>
      <c r="Q1" s="194"/>
      <c r="R1" s="194"/>
      <c r="S1" s="3"/>
      <c r="T1" s="3"/>
      <c r="U1" s="3"/>
      <c r="AH1" s="171" t="s">
        <v>1067</v>
      </c>
      <c r="AI1" s="172"/>
      <c r="AJ1" s="171" t="s">
        <v>1064</v>
      </c>
    </row>
    <row r="2" spans="1:43" x14ac:dyDescent="0.2">
      <c r="AH2" s="171" t="s">
        <v>1096</v>
      </c>
      <c r="AI2" s="172"/>
      <c r="AJ2" s="171" t="s">
        <v>1065</v>
      </c>
    </row>
    <row r="3" spans="1:43" ht="16.5" x14ac:dyDescent="0.25">
      <c r="A3" s="6"/>
      <c r="G3" s="199" t="s">
        <v>1128</v>
      </c>
      <c r="H3" s="200"/>
      <c r="W3" s="6"/>
      <c r="X3"/>
      <c r="Y3"/>
      <c r="Z3"/>
      <c r="AA3"/>
      <c r="AB3"/>
      <c r="AC3"/>
      <c r="AH3" s="172"/>
      <c r="AI3" s="172"/>
      <c r="AJ3" s="171" t="s">
        <v>1066</v>
      </c>
    </row>
    <row r="4" spans="1:43" x14ac:dyDescent="0.2">
      <c r="A4" s="6"/>
      <c r="W4" s="6"/>
      <c r="X4"/>
      <c r="Y4"/>
      <c r="Z4"/>
      <c r="AA4"/>
      <c r="AB4"/>
      <c r="AC4"/>
    </row>
    <row r="5" spans="1:43" ht="16.5" x14ac:dyDescent="0.25">
      <c r="A5" s="204" t="s">
        <v>1</v>
      </c>
      <c r="B5" s="145" t="s">
        <v>2</v>
      </c>
      <c r="C5" s="145" t="s">
        <v>3</v>
      </c>
      <c r="D5" s="149" t="s">
        <v>1039</v>
      </c>
      <c r="E5" s="145"/>
      <c r="F5" s="145" t="s">
        <v>1038</v>
      </c>
      <c r="G5" s="201" t="s">
        <v>1051</v>
      </c>
      <c r="H5" s="202" t="s">
        <v>1052</v>
      </c>
      <c r="I5" s="203" t="s">
        <v>1043</v>
      </c>
      <c r="J5" s="173">
        <v>44227</v>
      </c>
      <c r="K5" s="173">
        <v>44255</v>
      </c>
      <c r="L5" s="173">
        <v>44286</v>
      </c>
      <c r="M5" s="173">
        <v>44316</v>
      </c>
      <c r="N5" s="173">
        <v>44347</v>
      </c>
      <c r="O5" s="173">
        <v>44377</v>
      </c>
      <c r="P5" s="173">
        <v>44408</v>
      </c>
      <c r="Q5" s="173">
        <v>44439</v>
      </c>
      <c r="R5" s="173">
        <v>44469</v>
      </c>
      <c r="S5" s="173">
        <v>44500</v>
      </c>
      <c r="T5" s="173">
        <v>44530</v>
      </c>
      <c r="U5" s="173">
        <v>44561</v>
      </c>
      <c r="W5" s="193" t="s">
        <v>1044</v>
      </c>
      <c r="X5"/>
      <c r="Y5"/>
      <c r="Z5"/>
      <c r="AA5" s="2">
        <v>44592</v>
      </c>
      <c r="AB5" s="2">
        <v>44620</v>
      </c>
      <c r="AC5" s="2">
        <v>44651</v>
      </c>
      <c r="AE5" s="16" t="s">
        <v>378</v>
      </c>
      <c r="AH5" s="16" t="s">
        <v>1062</v>
      </c>
      <c r="AJ5" s="170" t="s">
        <v>1063</v>
      </c>
      <c r="AQ5" s="227">
        <v>44588</v>
      </c>
    </row>
    <row r="6" spans="1:43" ht="16.5" x14ac:dyDescent="0.25">
      <c r="A6" s="204"/>
      <c r="B6" s="8"/>
      <c r="C6" s="8"/>
      <c r="E6" s="8"/>
      <c r="F6" s="8"/>
      <c r="G6" s="201" t="s">
        <v>1040</v>
      </c>
      <c r="H6" s="202" t="s">
        <v>1040</v>
      </c>
      <c r="I6" s="204"/>
      <c r="J6" s="202" t="s">
        <v>1040</v>
      </c>
      <c r="K6" s="202" t="s">
        <v>1040</v>
      </c>
      <c r="L6" s="202" t="s">
        <v>1040</v>
      </c>
      <c r="M6" s="202" t="s">
        <v>1040</v>
      </c>
      <c r="N6" s="202" t="s">
        <v>1040</v>
      </c>
      <c r="O6" s="202" t="s">
        <v>1040</v>
      </c>
      <c r="P6" s="202" t="s">
        <v>1040</v>
      </c>
      <c r="Q6" s="202" t="s">
        <v>1040</v>
      </c>
      <c r="R6" s="202" t="s">
        <v>1040</v>
      </c>
      <c r="S6" s="147" t="s">
        <v>1040</v>
      </c>
      <c r="T6" s="147" t="s">
        <v>1040</v>
      </c>
      <c r="U6" s="147" t="s">
        <v>1040</v>
      </c>
      <c r="V6" s="8"/>
      <c r="W6" s="6"/>
      <c r="X6" s="1"/>
      <c r="Y6" s="1"/>
      <c r="Z6" s="1"/>
      <c r="AA6"/>
      <c r="AB6"/>
      <c r="AC6"/>
    </row>
    <row r="8" spans="1:43" x14ac:dyDescent="0.2">
      <c r="A8" s="234" t="s">
        <v>18</v>
      </c>
      <c r="B8" s="9" t="s">
        <v>495</v>
      </c>
      <c r="C8" s="9" t="s">
        <v>495</v>
      </c>
      <c r="D8" s="9" t="s">
        <v>495</v>
      </c>
      <c r="E8" s="9"/>
      <c r="F8" s="9">
        <v>0</v>
      </c>
      <c r="G8" s="83">
        <v>25503</v>
      </c>
      <c r="H8" s="83">
        <f>SUM(J8:U8)+SUM(AA8:AC8)</f>
        <v>15000</v>
      </c>
      <c r="I8" s="133">
        <f>ROUND((H8/G8),4)</f>
        <v>0.58819999999999995</v>
      </c>
      <c r="J8" s="82">
        <v>1250</v>
      </c>
      <c r="K8" s="82"/>
      <c r="L8" s="82">
        <v>2500</v>
      </c>
      <c r="M8" s="82">
        <v>1250</v>
      </c>
      <c r="N8" s="82">
        <v>1250</v>
      </c>
      <c r="O8" s="82">
        <v>1250</v>
      </c>
      <c r="P8" s="82">
        <v>1250</v>
      </c>
      <c r="Q8" s="82">
        <v>1250</v>
      </c>
      <c r="R8" s="82">
        <v>1250</v>
      </c>
      <c r="S8" s="23">
        <v>1250</v>
      </c>
      <c r="T8" s="23">
        <v>1250</v>
      </c>
      <c r="U8" s="23">
        <v>1250</v>
      </c>
      <c r="V8" s="7" t="s">
        <v>496</v>
      </c>
      <c r="W8" s="82">
        <f>G8-H8</f>
        <v>10503</v>
      </c>
      <c r="X8" s="4"/>
      <c r="Y8" s="4"/>
      <c r="Z8" s="4"/>
      <c r="AA8" s="82">
        <v>0</v>
      </c>
      <c r="AB8" s="82"/>
      <c r="AC8" s="82"/>
      <c r="AD8" s="82"/>
      <c r="AE8" s="7" t="s">
        <v>379</v>
      </c>
      <c r="AH8" s="23">
        <f>SUM('2020 detail'!J8:U8)+'2020 detail'!AA8+'2020 detail'!AB8</f>
        <v>16778.68</v>
      </c>
      <c r="AJ8" s="23">
        <f>H8-AH8</f>
        <v>-1778.6800000000003</v>
      </c>
      <c r="AL8" t="str">
        <f>IF(AJ8&lt;0,"Down",IF(AJ8&gt;0,"Up","Same"))</f>
        <v>Down</v>
      </c>
      <c r="AQ8" s="23">
        <v>1250</v>
      </c>
    </row>
    <row r="9" spans="1:43" x14ac:dyDescent="0.2">
      <c r="A9" s="234" t="s">
        <v>19</v>
      </c>
      <c r="B9" s="9" t="s">
        <v>495</v>
      </c>
      <c r="C9" s="9" t="s">
        <v>495</v>
      </c>
      <c r="D9" s="9" t="s">
        <v>495</v>
      </c>
      <c r="E9" s="9"/>
      <c r="F9" s="9" t="s">
        <v>495</v>
      </c>
      <c r="G9" s="83">
        <v>13116</v>
      </c>
      <c r="H9" s="83">
        <f t="shared" ref="H9:H37" si="0">SUM(J9:U9)+SUM(AA9:AC9)</f>
        <v>1200</v>
      </c>
      <c r="I9" s="133">
        <f t="shared" ref="I9:I40" si="1">ROUND((H9/G9),4)</f>
        <v>9.1499999999999998E-2</v>
      </c>
      <c r="J9" s="82">
        <v>100</v>
      </c>
      <c r="K9" s="82">
        <v>100</v>
      </c>
      <c r="L9" s="82">
        <v>100</v>
      </c>
      <c r="M9" s="82">
        <v>100</v>
      </c>
      <c r="N9" s="82">
        <v>100</v>
      </c>
      <c r="O9" s="82">
        <v>100</v>
      </c>
      <c r="P9" s="82">
        <v>100</v>
      </c>
      <c r="Q9" s="82">
        <v>100</v>
      </c>
      <c r="R9" s="82">
        <v>100</v>
      </c>
      <c r="S9" s="23">
        <v>100</v>
      </c>
      <c r="T9" s="23">
        <v>100</v>
      </c>
      <c r="U9" s="23">
        <v>100</v>
      </c>
      <c r="V9" s="7" t="s">
        <v>497</v>
      </c>
      <c r="W9" s="82">
        <f t="shared" ref="W9:W37" si="2">G9-H9</f>
        <v>11916</v>
      </c>
      <c r="X9" s="4"/>
      <c r="Y9" s="4"/>
      <c r="Z9" s="4"/>
      <c r="AA9" s="82">
        <v>0</v>
      </c>
      <c r="AB9" s="82"/>
      <c r="AC9" s="82"/>
      <c r="AD9" s="82"/>
      <c r="AE9" s="7" t="s">
        <v>379</v>
      </c>
      <c r="AH9" s="23">
        <f>SUM('2020 detail'!J9:U9)+'2020 detail'!AA9+'2020 detail'!AB9</f>
        <v>4500</v>
      </c>
      <c r="AJ9" s="23">
        <f t="shared" ref="AJ9:AJ39" si="3">H9-AH9</f>
        <v>-3300</v>
      </c>
      <c r="AL9" t="str">
        <f t="shared" ref="AL9:AL37" si="4">IF(AJ9&lt;0,"Down",IF(AJ9&gt;0,"Up","Same"))</f>
        <v>Down</v>
      </c>
      <c r="AQ9" s="23">
        <v>100</v>
      </c>
    </row>
    <row r="10" spans="1:43" x14ac:dyDescent="0.2">
      <c r="A10" s="234" t="s">
        <v>20</v>
      </c>
      <c r="B10" s="9" t="s">
        <v>495</v>
      </c>
      <c r="C10" s="9" t="s">
        <v>495</v>
      </c>
      <c r="D10" s="9" t="s">
        <v>495</v>
      </c>
      <c r="E10" s="9"/>
      <c r="F10" s="9">
        <v>0</v>
      </c>
      <c r="G10" s="83">
        <v>18217</v>
      </c>
      <c r="H10" s="83">
        <f t="shared" si="0"/>
        <v>12000</v>
      </c>
      <c r="I10" s="133">
        <f t="shared" si="1"/>
        <v>0.65869999999999995</v>
      </c>
      <c r="J10" s="82">
        <v>0</v>
      </c>
      <c r="K10" s="82"/>
      <c r="L10" s="82"/>
      <c r="M10" s="82"/>
      <c r="N10" s="82"/>
      <c r="O10" s="82"/>
      <c r="P10" s="82"/>
      <c r="Q10" s="82"/>
      <c r="R10" s="82"/>
      <c r="S10" s="23"/>
      <c r="T10" s="23"/>
      <c r="U10" s="23">
        <v>12000</v>
      </c>
      <c r="V10" s="7" t="s">
        <v>498</v>
      </c>
      <c r="W10" s="82">
        <f t="shared" si="2"/>
        <v>6217</v>
      </c>
      <c r="X10" s="4"/>
      <c r="Y10" s="4"/>
      <c r="Z10" s="4"/>
      <c r="AA10" s="82">
        <v>0</v>
      </c>
      <c r="AB10" s="82"/>
      <c r="AC10" s="82"/>
      <c r="AD10" s="82"/>
      <c r="AE10" s="7" t="s">
        <v>379</v>
      </c>
      <c r="AH10" s="23">
        <f>SUM('2020 detail'!J10:U10)+'2020 detail'!AA10+'2020 detail'!AB10</f>
        <v>10000.000000000002</v>
      </c>
      <c r="AJ10" s="23">
        <f t="shared" si="3"/>
        <v>1999.9999999999982</v>
      </c>
      <c r="AL10" t="str">
        <f t="shared" si="4"/>
        <v>Up</v>
      </c>
      <c r="AQ10" s="23">
        <v>12000</v>
      </c>
    </row>
    <row r="11" spans="1:43" x14ac:dyDescent="0.2">
      <c r="A11" s="234" t="s">
        <v>21</v>
      </c>
      <c r="B11" s="9" t="s">
        <v>495</v>
      </c>
      <c r="C11" s="9" t="s">
        <v>495</v>
      </c>
      <c r="D11" s="9">
        <v>0</v>
      </c>
      <c r="E11" s="9"/>
      <c r="F11" s="9">
        <v>0</v>
      </c>
      <c r="G11" s="83">
        <v>75291</v>
      </c>
      <c r="H11" s="83">
        <f t="shared" si="0"/>
        <v>75291</v>
      </c>
      <c r="I11" s="133">
        <f t="shared" si="1"/>
        <v>1</v>
      </c>
      <c r="J11" s="82">
        <v>0</v>
      </c>
      <c r="K11" s="82">
        <v>7791</v>
      </c>
      <c r="L11" s="82">
        <v>7500</v>
      </c>
      <c r="M11" s="82">
        <v>7500</v>
      </c>
      <c r="N11" s="82">
        <v>7500</v>
      </c>
      <c r="O11" s="82">
        <v>7500</v>
      </c>
      <c r="P11" s="82">
        <v>7500</v>
      </c>
      <c r="Q11" s="82"/>
      <c r="R11" s="82">
        <v>7500</v>
      </c>
      <c r="S11" s="23"/>
      <c r="T11" s="23">
        <v>15000</v>
      </c>
      <c r="U11" s="23">
        <v>7500</v>
      </c>
      <c r="V11" s="7" t="s">
        <v>499</v>
      </c>
      <c r="W11" s="82">
        <f t="shared" si="2"/>
        <v>0</v>
      </c>
      <c r="X11" s="4"/>
      <c r="Y11" s="4"/>
      <c r="Z11" s="4"/>
      <c r="AA11" s="82">
        <v>0</v>
      </c>
      <c r="AB11" s="82"/>
      <c r="AC11" s="82"/>
      <c r="AD11" s="82"/>
      <c r="AE11" s="7" t="s">
        <v>380</v>
      </c>
      <c r="AH11" s="23">
        <f>SUM('2020 detail'!J11:U11)+'2020 detail'!AA11+'2020 detail'!AB11</f>
        <v>75291</v>
      </c>
      <c r="AJ11" s="23">
        <f t="shared" si="3"/>
        <v>0</v>
      </c>
      <c r="AL11" t="str">
        <f t="shared" si="4"/>
        <v>Same</v>
      </c>
      <c r="AQ11" s="23">
        <v>7500</v>
      </c>
    </row>
    <row r="12" spans="1:43" x14ac:dyDescent="0.2">
      <c r="A12" s="234" t="s">
        <v>22</v>
      </c>
      <c r="B12" s="9" t="s">
        <v>495</v>
      </c>
      <c r="C12" s="9" t="s">
        <v>495</v>
      </c>
      <c r="D12" s="9" t="s">
        <v>495</v>
      </c>
      <c r="E12" s="9"/>
      <c r="F12" s="9">
        <v>0</v>
      </c>
      <c r="G12" s="83">
        <v>17737</v>
      </c>
      <c r="H12" s="83">
        <f t="shared" si="0"/>
        <v>17736.96</v>
      </c>
      <c r="I12" s="133">
        <f t="shared" si="1"/>
        <v>1</v>
      </c>
      <c r="J12" s="82">
        <v>1478.08</v>
      </c>
      <c r="K12" s="82">
        <v>1478.08</v>
      </c>
      <c r="L12" s="82">
        <v>1478.08</v>
      </c>
      <c r="M12" s="82">
        <v>1478.08</v>
      </c>
      <c r="N12" s="82">
        <v>1478.08</v>
      </c>
      <c r="O12" s="82">
        <v>1478.08</v>
      </c>
      <c r="P12" s="82">
        <v>1478.08</v>
      </c>
      <c r="Q12" s="82">
        <v>1478.08</v>
      </c>
      <c r="R12" s="82">
        <v>1478.08</v>
      </c>
      <c r="S12" s="23">
        <v>1478.08</v>
      </c>
      <c r="T12" s="23">
        <v>1478.08</v>
      </c>
      <c r="U12" s="23">
        <v>1478.08</v>
      </c>
      <c r="V12" s="7" t="s">
        <v>500</v>
      </c>
      <c r="W12" s="82">
        <f t="shared" si="2"/>
        <v>4.0000000000873115E-2</v>
      </c>
      <c r="X12" s="4"/>
      <c r="Y12" s="4"/>
      <c r="Z12" s="4"/>
      <c r="AA12" s="82">
        <v>0</v>
      </c>
      <c r="AB12" s="82"/>
      <c r="AC12" s="82"/>
      <c r="AD12" s="82"/>
      <c r="AE12" s="7" t="s">
        <v>381</v>
      </c>
      <c r="AH12" s="23">
        <f>SUM('2020 detail'!J12:U12)+'2020 detail'!AA12+'2020 detail'!AB12</f>
        <v>22236</v>
      </c>
      <c r="AJ12" s="23">
        <f t="shared" si="3"/>
        <v>-4499.0400000000009</v>
      </c>
      <c r="AL12" t="str">
        <f t="shared" si="4"/>
        <v>Down</v>
      </c>
      <c r="AQ12" s="23">
        <v>1478.08</v>
      </c>
    </row>
    <row r="13" spans="1:43" x14ac:dyDescent="0.2">
      <c r="A13" s="234" t="s">
        <v>23</v>
      </c>
      <c r="B13" s="9" t="s">
        <v>495</v>
      </c>
      <c r="C13" s="9" t="s">
        <v>495</v>
      </c>
      <c r="D13" s="9">
        <v>0</v>
      </c>
      <c r="E13" s="9"/>
      <c r="F13" s="9" t="s">
        <v>495</v>
      </c>
      <c r="G13" s="83">
        <v>13008</v>
      </c>
      <c r="H13" s="83">
        <f t="shared" si="0"/>
        <v>10200</v>
      </c>
      <c r="I13" s="133">
        <f t="shared" si="1"/>
        <v>0.78410000000000002</v>
      </c>
      <c r="J13" s="82">
        <v>600</v>
      </c>
      <c r="K13" s="82">
        <v>600</v>
      </c>
      <c r="L13" s="82">
        <v>600</v>
      </c>
      <c r="M13" s="82">
        <v>600</v>
      </c>
      <c r="N13" s="82">
        <v>600</v>
      </c>
      <c r="O13" s="82">
        <v>600</v>
      </c>
      <c r="P13" s="82">
        <v>600</v>
      </c>
      <c r="Q13" s="82">
        <v>600</v>
      </c>
      <c r="R13" s="82">
        <v>600</v>
      </c>
      <c r="S13" s="23">
        <v>600</v>
      </c>
      <c r="T13" s="23">
        <v>600</v>
      </c>
      <c r="U13" s="23">
        <v>3600</v>
      </c>
      <c r="V13" s="7" t="s">
        <v>501</v>
      </c>
      <c r="W13" s="82">
        <f t="shared" si="2"/>
        <v>2808</v>
      </c>
      <c r="X13" s="4"/>
      <c r="Y13" s="4"/>
      <c r="Z13" s="4"/>
      <c r="AA13" s="82">
        <v>0</v>
      </c>
      <c r="AB13" s="82"/>
      <c r="AC13" s="82"/>
      <c r="AD13" s="82"/>
      <c r="AE13" s="7" t="s">
        <v>381</v>
      </c>
      <c r="AH13" s="23">
        <f>SUM('2020 detail'!J13:U13)+'2020 detail'!AA13+'2020 detail'!AB13</f>
        <v>8700</v>
      </c>
      <c r="AJ13" s="23">
        <f t="shared" si="3"/>
        <v>1500</v>
      </c>
      <c r="AL13" t="str">
        <f t="shared" si="4"/>
        <v>Up</v>
      </c>
      <c r="AQ13" s="23">
        <v>3600</v>
      </c>
    </row>
    <row r="14" spans="1:43" x14ac:dyDescent="0.2">
      <c r="A14" s="234" t="s">
        <v>24</v>
      </c>
      <c r="B14" s="9" t="s">
        <v>495</v>
      </c>
      <c r="C14" s="9" t="s">
        <v>495</v>
      </c>
      <c r="D14" s="9" t="s">
        <v>495</v>
      </c>
      <c r="E14" s="9"/>
      <c r="F14" s="9">
        <v>0</v>
      </c>
      <c r="G14" s="83">
        <v>8747</v>
      </c>
      <c r="H14" s="83">
        <f t="shared" si="0"/>
        <v>4400</v>
      </c>
      <c r="I14" s="133">
        <f t="shared" si="1"/>
        <v>0.503</v>
      </c>
      <c r="J14" s="82">
        <v>0</v>
      </c>
      <c r="K14" s="82"/>
      <c r="L14" s="82">
        <v>500</v>
      </c>
      <c r="M14" s="82">
        <v>200</v>
      </c>
      <c r="N14" s="82"/>
      <c r="O14" s="82">
        <v>200</v>
      </c>
      <c r="P14" s="82"/>
      <c r="Q14" s="82"/>
      <c r="R14" s="82">
        <v>200</v>
      </c>
      <c r="S14" s="23">
        <v>200</v>
      </c>
      <c r="T14" s="23"/>
      <c r="U14" s="23">
        <v>3100</v>
      </c>
      <c r="V14" s="7" t="s">
        <v>502</v>
      </c>
      <c r="W14" s="82">
        <f t="shared" si="2"/>
        <v>4347</v>
      </c>
      <c r="X14" s="4"/>
      <c r="Y14" s="4"/>
      <c r="Z14" s="4"/>
      <c r="AA14" s="82">
        <v>0</v>
      </c>
      <c r="AB14" s="82"/>
      <c r="AC14" s="82"/>
      <c r="AD14" s="82"/>
      <c r="AE14" s="7" t="s">
        <v>382</v>
      </c>
      <c r="AH14" s="23">
        <f>SUM('2020 detail'!J14:U14)+'2020 detail'!AA14+'2020 detail'!AB14</f>
        <v>1795</v>
      </c>
      <c r="AJ14" s="23">
        <f t="shared" si="3"/>
        <v>2605</v>
      </c>
      <c r="AL14" t="str">
        <f t="shared" si="4"/>
        <v>Up</v>
      </c>
      <c r="AQ14" s="23">
        <v>3100</v>
      </c>
    </row>
    <row r="15" spans="1:43" x14ac:dyDescent="0.2">
      <c r="A15" s="234" t="s">
        <v>25</v>
      </c>
      <c r="B15" s="9" t="s">
        <v>495</v>
      </c>
      <c r="C15" s="9" t="s">
        <v>495</v>
      </c>
      <c r="D15" s="9" t="s">
        <v>495</v>
      </c>
      <c r="E15" s="9"/>
      <c r="F15" s="9">
        <v>0</v>
      </c>
      <c r="G15" s="83">
        <v>2850</v>
      </c>
      <c r="H15" s="83">
        <f t="shared" si="0"/>
        <v>2850</v>
      </c>
      <c r="I15" s="133">
        <f t="shared" si="1"/>
        <v>1</v>
      </c>
      <c r="J15" s="82">
        <v>0</v>
      </c>
      <c r="K15" s="82"/>
      <c r="L15" s="82"/>
      <c r="M15" s="82"/>
      <c r="N15" s="82"/>
      <c r="O15" s="82"/>
      <c r="P15" s="82"/>
      <c r="Q15" s="82">
        <v>500</v>
      </c>
      <c r="R15" s="82"/>
      <c r="S15" s="23"/>
      <c r="T15" s="23"/>
      <c r="U15" s="23">
        <v>2350</v>
      </c>
      <c r="V15" s="7" t="s">
        <v>503</v>
      </c>
      <c r="W15" s="82">
        <f t="shared" si="2"/>
        <v>0</v>
      </c>
      <c r="X15" s="4"/>
      <c r="Y15" s="4"/>
      <c r="Z15" s="4"/>
      <c r="AA15" s="82">
        <v>0</v>
      </c>
      <c r="AB15" s="82"/>
      <c r="AC15" s="82"/>
      <c r="AD15" s="82"/>
      <c r="AE15" s="7" t="s">
        <v>382</v>
      </c>
      <c r="AH15" s="23">
        <f>SUM('2020 detail'!J15:U15)+'2020 detail'!AA15+'2020 detail'!AB15</f>
        <v>4976</v>
      </c>
      <c r="AJ15" s="23">
        <f t="shared" si="3"/>
        <v>-2126</v>
      </c>
      <c r="AL15" t="str">
        <f t="shared" si="4"/>
        <v>Down</v>
      </c>
      <c r="AQ15" s="23">
        <v>2350</v>
      </c>
    </row>
    <row r="16" spans="1:43" x14ac:dyDescent="0.2">
      <c r="A16" s="234" t="s">
        <v>26</v>
      </c>
      <c r="B16" s="9" t="s">
        <v>495</v>
      </c>
      <c r="C16" s="9" t="s">
        <v>495</v>
      </c>
      <c r="D16" s="9" t="s">
        <v>495</v>
      </c>
      <c r="E16" s="9"/>
      <c r="F16" s="9">
        <v>0</v>
      </c>
      <c r="G16" s="83">
        <v>8672</v>
      </c>
      <c r="H16" s="83">
        <f t="shared" si="0"/>
        <v>8672</v>
      </c>
      <c r="I16" s="133">
        <f t="shared" si="1"/>
        <v>1</v>
      </c>
      <c r="J16" s="82">
        <v>400</v>
      </c>
      <c r="K16" s="82">
        <v>400</v>
      </c>
      <c r="L16" s="82">
        <v>400</v>
      </c>
      <c r="M16" s="82">
        <v>400</v>
      </c>
      <c r="N16" s="82">
        <v>400</v>
      </c>
      <c r="O16" s="82">
        <v>400</v>
      </c>
      <c r="P16" s="82">
        <v>400</v>
      </c>
      <c r="Q16" s="82">
        <v>400</v>
      </c>
      <c r="R16" s="82">
        <v>4400</v>
      </c>
      <c r="S16" s="23">
        <v>400</v>
      </c>
      <c r="T16" s="23">
        <v>400</v>
      </c>
      <c r="U16" s="82">
        <v>272</v>
      </c>
      <c r="V16" s="7" t="s">
        <v>504</v>
      </c>
      <c r="W16" s="82">
        <f t="shared" si="2"/>
        <v>0</v>
      </c>
      <c r="X16" s="4"/>
      <c r="Y16" s="4"/>
      <c r="Z16" s="4"/>
      <c r="AA16" s="82">
        <v>0</v>
      </c>
      <c r="AB16" s="82"/>
      <c r="AC16" s="82"/>
      <c r="AD16" s="82"/>
      <c r="AE16" s="7" t="s">
        <v>381</v>
      </c>
      <c r="AH16" s="23">
        <f>SUM('2020 detail'!J16:U16)+'2020 detail'!AA16+'2020 detail'!AB16</f>
        <v>10868</v>
      </c>
      <c r="AJ16" s="23">
        <f t="shared" si="3"/>
        <v>-2196</v>
      </c>
      <c r="AL16" t="str">
        <f t="shared" si="4"/>
        <v>Down</v>
      </c>
      <c r="AQ16" s="23">
        <v>272</v>
      </c>
    </row>
    <row r="17" spans="1:43" x14ac:dyDescent="0.2">
      <c r="A17" s="234" t="s">
        <v>27</v>
      </c>
      <c r="B17" s="9" t="s">
        <v>495</v>
      </c>
      <c r="C17" s="9" t="s">
        <v>495</v>
      </c>
      <c r="D17" s="9">
        <v>0</v>
      </c>
      <c r="E17" s="9"/>
      <c r="F17" s="9">
        <v>0</v>
      </c>
      <c r="G17" s="83">
        <v>8512</v>
      </c>
      <c r="H17" s="83">
        <f t="shared" si="0"/>
        <v>8512</v>
      </c>
      <c r="I17" s="133">
        <f t="shared" si="1"/>
        <v>1</v>
      </c>
      <c r="J17" s="82">
        <v>0</v>
      </c>
      <c r="K17" s="82"/>
      <c r="L17" s="82"/>
      <c r="M17" s="82"/>
      <c r="N17" s="82">
        <v>1000</v>
      </c>
      <c r="O17" s="82"/>
      <c r="P17" s="82">
        <v>2000</v>
      </c>
      <c r="Q17" s="82">
        <v>1000</v>
      </c>
      <c r="R17" s="82"/>
      <c r="S17" s="23">
        <v>2000</v>
      </c>
      <c r="T17" s="23">
        <v>2512</v>
      </c>
      <c r="U17" s="82"/>
      <c r="V17" s="7" t="s">
        <v>505</v>
      </c>
      <c r="W17" s="82">
        <f t="shared" si="2"/>
        <v>0</v>
      </c>
      <c r="X17" s="4"/>
      <c r="Y17" s="4"/>
      <c r="Z17" s="4"/>
      <c r="AA17" s="82">
        <v>0</v>
      </c>
      <c r="AB17" s="82"/>
      <c r="AC17" s="82"/>
      <c r="AD17" s="82"/>
      <c r="AE17" s="7" t="s">
        <v>382</v>
      </c>
      <c r="AH17" s="23">
        <f>SUM('2020 detail'!J17:U17)+'2020 detail'!AA17+'2020 detail'!AB17</f>
        <v>14860</v>
      </c>
      <c r="AJ17" s="23">
        <f t="shared" si="3"/>
        <v>-6348</v>
      </c>
      <c r="AL17" t="str">
        <f t="shared" si="4"/>
        <v>Down</v>
      </c>
    </row>
    <row r="18" spans="1:43" x14ac:dyDescent="0.2">
      <c r="A18" s="234" t="s">
        <v>28</v>
      </c>
      <c r="B18" s="9" t="s">
        <v>495</v>
      </c>
      <c r="C18" s="9" t="s">
        <v>495</v>
      </c>
      <c r="D18" s="9" t="s">
        <v>495</v>
      </c>
      <c r="E18" s="9"/>
      <c r="F18" s="9">
        <v>0</v>
      </c>
      <c r="G18" s="83">
        <v>10083</v>
      </c>
      <c r="H18" s="83">
        <f t="shared" si="0"/>
        <v>9000</v>
      </c>
      <c r="I18" s="133">
        <f t="shared" si="1"/>
        <v>0.89259999999999995</v>
      </c>
      <c r="J18" s="82">
        <v>0</v>
      </c>
      <c r="K18" s="82"/>
      <c r="L18" s="82"/>
      <c r="M18" s="82"/>
      <c r="N18" s="82">
        <v>2000</v>
      </c>
      <c r="O18" s="82"/>
      <c r="P18" s="82"/>
      <c r="Q18" s="82">
        <v>3000</v>
      </c>
      <c r="R18" s="82"/>
      <c r="S18" s="23">
        <v>3000</v>
      </c>
      <c r="T18" s="23"/>
      <c r="U18" s="82">
        <v>1000</v>
      </c>
      <c r="V18" s="7" t="s">
        <v>506</v>
      </c>
      <c r="W18" s="82">
        <f t="shared" si="2"/>
        <v>1083</v>
      </c>
      <c r="X18" s="4"/>
      <c r="Y18" s="4"/>
      <c r="Z18" s="4"/>
      <c r="AA18" s="82">
        <v>0</v>
      </c>
      <c r="AB18" s="82"/>
      <c r="AC18" s="82"/>
      <c r="AD18" s="82"/>
      <c r="AE18" s="7" t="s">
        <v>383</v>
      </c>
      <c r="AH18" s="23">
        <f>SUM('2020 detail'!J18:U18)+'2020 detail'!AA18+'2020 detail'!AB18</f>
        <v>6000</v>
      </c>
      <c r="AJ18" s="23">
        <f t="shared" si="3"/>
        <v>3000</v>
      </c>
      <c r="AL18" t="str">
        <f t="shared" si="4"/>
        <v>Up</v>
      </c>
      <c r="AQ18" s="23">
        <v>1000</v>
      </c>
    </row>
    <row r="19" spans="1:43" x14ac:dyDescent="0.2">
      <c r="A19" s="234" t="s">
        <v>29</v>
      </c>
      <c r="B19" s="9" t="s">
        <v>495</v>
      </c>
      <c r="C19" s="9" t="s">
        <v>495</v>
      </c>
      <c r="D19" s="9" t="s">
        <v>495</v>
      </c>
      <c r="E19" s="9"/>
      <c r="F19" s="9">
        <v>0</v>
      </c>
      <c r="G19" s="83">
        <v>5788</v>
      </c>
      <c r="H19" s="83">
        <f t="shared" si="0"/>
        <v>1710</v>
      </c>
      <c r="I19" s="133">
        <f t="shared" si="1"/>
        <v>0.2954</v>
      </c>
      <c r="J19" s="82">
        <v>0</v>
      </c>
      <c r="K19" s="82"/>
      <c r="L19" s="82"/>
      <c r="M19" s="82"/>
      <c r="N19" s="82">
        <v>510</v>
      </c>
      <c r="O19" s="82"/>
      <c r="P19" s="82"/>
      <c r="Q19" s="82">
        <v>500</v>
      </c>
      <c r="R19" s="82"/>
      <c r="S19" s="23"/>
      <c r="T19" s="23"/>
      <c r="U19" s="82">
        <v>700</v>
      </c>
      <c r="V19" s="7" t="s">
        <v>507</v>
      </c>
      <c r="W19" s="82">
        <f t="shared" si="2"/>
        <v>4078</v>
      </c>
      <c r="X19" s="4"/>
      <c r="Y19" s="4"/>
      <c r="Z19" s="4"/>
      <c r="AA19" s="82">
        <v>0</v>
      </c>
      <c r="AB19" s="82"/>
      <c r="AC19" s="82"/>
      <c r="AD19" s="82"/>
      <c r="AE19" s="7" t="s">
        <v>383</v>
      </c>
      <c r="AH19" s="23">
        <f>SUM('2020 detail'!J19:U19)+'2020 detail'!AA19+'2020 detail'!AB19</f>
        <v>2500</v>
      </c>
      <c r="AJ19" s="23">
        <f t="shared" si="3"/>
        <v>-790</v>
      </c>
      <c r="AL19" t="str">
        <f t="shared" si="4"/>
        <v>Down</v>
      </c>
      <c r="AQ19" s="23">
        <v>700</v>
      </c>
    </row>
    <row r="20" spans="1:43" x14ac:dyDescent="0.2">
      <c r="A20" s="234" t="s">
        <v>30</v>
      </c>
      <c r="B20" s="9" t="s">
        <v>495</v>
      </c>
      <c r="C20" s="9" t="s">
        <v>495</v>
      </c>
      <c r="D20" s="9" t="s">
        <v>495</v>
      </c>
      <c r="E20" s="9"/>
      <c r="F20" s="9">
        <v>0</v>
      </c>
      <c r="G20" s="83">
        <v>8015</v>
      </c>
      <c r="H20" s="83">
        <f t="shared" si="0"/>
        <v>2000</v>
      </c>
      <c r="I20" s="133">
        <f t="shared" si="1"/>
        <v>0.2495</v>
      </c>
      <c r="J20" s="82">
        <v>0</v>
      </c>
      <c r="K20" s="82"/>
      <c r="L20" s="82"/>
      <c r="M20" s="82"/>
      <c r="N20" s="82"/>
      <c r="O20" s="82">
        <v>2000</v>
      </c>
      <c r="P20" s="82"/>
      <c r="Q20" s="82"/>
      <c r="R20" s="82"/>
      <c r="S20" s="23"/>
      <c r="T20" s="23"/>
      <c r="U20" s="23"/>
      <c r="V20" s="7" t="s">
        <v>508</v>
      </c>
      <c r="W20" s="82">
        <f t="shared" si="2"/>
        <v>6015</v>
      </c>
      <c r="X20" s="4"/>
      <c r="Y20" s="4"/>
      <c r="Z20" s="4"/>
      <c r="AA20" s="82">
        <v>0</v>
      </c>
      <c r="AB20" s="82"/>
      <c r="AC20" s="82"/>
      <c r="AD20" s="82"/>
      <c r="AE20" s="7" t="s">
        <v>379</v>
      </c>
      <c r="AH20" s="23">
        <f>SUM('2020 detail'!J20:U20)+'2020 detail'!AA20+'2020 detail'!AB20</f>
        <v>3643</v>
      </c>
      <c r="AJ20" s="23">
        <f t="shared" si="3"/>
        <v>-1643</v>
      </c>
      <c r="AL20" t="str">
        <f t="shared" si="4"/>
        <v>Down</v>
      </c>
    </row>
    <row r="21" spans="1:43" x14ac:dyDescent="0.2">
      <c r="A21" s="234" t="s">
        <v>31</v>
      </c>
      <c r="B21" s="9" t="s">
        <v>495</v>
      </c>
      <c r="C21" s="9">
        <v>0</v>
      </c>
      <c r="D21" s="9">
        <v>0</v>
      </c>
      <c r="E21" s="9"/>
      <c r="F21" s="9" t="s">
        <v>495</v>
      </c>
      <c r="G21" s="83">
        <v>8015</v>
      </c>
      <c r="H21" s="83">
        <f t="shared" si="0"/>
        <v>4381.09</v>
      </c>
      <c r="I21" s="133">
        <f t="shared" si="1"/>
        <v>0.54659999999999997</v>
      </c>
      <c r="J21" s="82">
        <v>674.09</v>
      </c>
      <c r="K21" s="82">
        <v>337</v>
      </c>
      <c r="L21" s="82">
        <v>337</v>
      </c>
      <c r="M21" s="82">
        <v>337</v>
      </c>
      <c r="N21" s="82">
        <v>337</v>
      </c>
      <c r="O21" s="82">
        <v>337</v>
      </c>
      <c r="P21" s="82">
        <v>337</v>
      </c>
      <c r="Q21" s="82">
        <v>337</v>
      </c>
      <c r="R21" s="82">
        <v>337</v>
      </c>
      <c r="S21" s="23">
        <v>337</v>
      </c>
      <c r="T21" s="23">
        <v>337</v>
      </c>
      <c r="U21" s="23">
        <v>337</v>
      </c>
      <c r="V21" s="7" t="s">
        <v>509</v>
      </c>
      <c r="W21" s="82">
        <f t="shared" si="2"/>
        <v>3633.91</v>
      </c>
      <c r="X21" s="4"/>
      <c r="Y21" s="4"/>
      <c r="Z21" s="4"/>
      <c r="AA21" s="82">
        <v>0</v>
      </c>
      <c r="AB21" s="82"/>
      <c r="AC21" s="82"/>
      <c r="AD21" s="82"/>
      <c r="AE21" s="7" t="s">
        <v>379</v>
      </c>
      <c r="AH21" s="23">
        <f>SUM('2020 detail'!J21:U21)+'2020 detail'!AA21+'2020 detail'!AB21</f>
        <v>8015.0000000000009</v>
      </c>
      <c r="AJ21" s="23">
        <f t="shared" si="3"/>
        <v>-3633.9100000000008</v>
      </c>
      <c r="AL21" t="str">
        <f t="shared" si="4"/>
        <v>Down</v>
      </c>
      <c r="AQ21" s="23">
        <v>337</v>
      </c>
    </row>
    <row r="22" spans="1:43" x14ac:dyDescent="0.2">
      <c r="A22" s="234" t="s">
        <v>32</v>
      </c>
      <c r="B22" s="9">
        <v>0</v>
      </c>
      <c r="C22" s="9" t="s">
        <v>495</v>
      </c>
      <c r="D22" s="9" t="s">
        <v>495</v>
      </c>
      <c r="E22" s="9"/>
      <c r="F22" s="9">
        <v>0</v>
      </c>
      <c r="G22" s="83">
        <v>9804</v>
      </c>
      <c r="H22" s="83">
        <f t="shared" si="0"/>
        <v>7125</v>
      </c>
      <c r="I22" s="133">
        <f t="shared" si="1"/>
        <v>0.72670000000000001</v>
      </c>
      <c r="J22" s="82">
        <v>0</v>
      </c>
      <c r="K22" s="82"/>
      <c r="L22" s="82"/>
      <c r="M22" s="82"/>
      <c r="N22" s="82"/>
      <c r="O22" s="82"/>
      <c r="P22" s="82"/>
      <c r="Q22" s="82"/>
      <c r="R22" s="82"/>
      <c r="S22" s="23">
        <v>7125</v>
      </c>
      <c r="T22" s="23"/>
      <c r="U22" s="23"/>
      <c r="V22" s="7" t="s">
        <v>510</v>
      </c>
      <c r="W22" s="82">
        <f t="shared" si="2"/>
        <v>2679</v>
      </c>
      <c r="X22" s="4"/>
      <c r="Y22" s="4"/>
      <c r="Z22" s="4"/>
      <c r="AA22" s="82">
        <v>0</v>
      </c>
      <c r="AB22" s="82"/>
      <c r="AC22" s="82"/>
      <c r="AD22" s="82"/>
      <c r="AE22" s="7" t="s">
        <v>383</v>
      </c>
      <c r="AH22" s="23">
        <f>SUM('2020 detail'!J22:U22)+'2020 detail'!AA22+'2020 detail'!AB22</f>
        <v>7125</v>
      </c>
      <c r="AJ22" s="23">
        <f t="shared" si="3"/>
        <v>0</v>
      </c>
      <c r="AL22" t="str">
        <f t="shared" si="4"/>
        <v>Same</v>
      </c>
    </row>
    <row r="23" spans="1:43" x14ac:dyDescent="0.2">
      <c r="A23" s="234" t="s">
        <v>374</v>
      </c>
      <c r="B23" s="9" t="s">
        <v>495</v>
      </c>
      <c r="C23" s="9" t="s">
        <v>495</v>
      </c>
      <c r="D23" s="9" t="s">
        <v>495</v>
      </c>
      <c r="E23" s="9"/>
      <c r="F23" s="9">
        <v>0</v>
      </c>
      <c r="G23" s="83">
        <v>21543</v>
      </c>
      <c r="H23" s="83">
        <f t="shared" si="0"/>
        <v>18276</v>
      </c>
      <c r="I23" s="133">
        <f t="shared" si="1"/>
        <v>0.84830000000000005</v>
      </c>
      <c r="J23" s="82">
        <v>0</v>
      </c>
      <c r="K23" s="82"/>
      <c r="L23" s="82"/>
      <c r="M23" s="82">
        <v>3409.93</v>
      </c>
      <c r="N23" s="82"/>
      <c r="O23" s="82">
        <v>4990.8999999999996</v>
      </c>
      <c r="P23" s="82"/>
      <c r="Q23" s="82"/>
      <c r="R23" s="82">
        <v>4219.32</v>
      </c>
      <c r="S23" s="23"/>
      <c r="T23" s="23"/>
      <c r="U23" s="23">
        <v>5655.85</v>
      </c>
      <c r="V23" s="7" t="s">
        <v>511</v>
      </c>
      <c r="W23" s="82">
        <f t="shared" si="2"/>
        <v>3267</v>
      </c>
      <c r="X23" s="4"/>
      <c r="Y23" s="4"/>
      <c r="Z23" s="4"/>
      <c r="AA23" s="82">
        <v>0</v>
      </c>
      <c r="AB23" s="82"/>
      <c r="AC23" s="82"/>
      <c r="AD23" s="82"/>
      <c r="AE23" s="158" t="s">
        <v>384</v>
      </c>
      <c r="AH23" s="23">
        <f>SUM('2020 detail'!J23:U23)+'2020 detail'!AA23+'2020 detail'!AB23</f>
        <v>53176</v>
      </c>
      <c r="AJ23" s="23">
        <f t="shared" si="3"/>
        <v>-34900</v>
      </c>
      <c r="AL23" t="str">
        <f t="shared" si="4"/>
        <v>Down</v>
      </c>
      <c r="AQ23" s="23">
        <v>5655.85</v>
      </c>
    </row>
    <row r="24" spans="1:43" x14ac:dyDescent="0.2">
      <c r="A24" s="234" t="s">
        <v>33</v>
      </c>
      <c r="B24" s="9">
        <v>0</v>
      </c>
      <c r="C24" s="9" t="s">
        <v>495</v>
      </c>
      <c r="D24" s="9">
        <v>0</v>
      </c>
      <c r="E24" s="9"/>
      <c r="F24" s="9" t="s">
        <v>495</v>
      </c>
      <c r="G24" s="83">
        <v>50085</v>
      </c>
      <c r="H24" s="83">
        <f t="shared" si="0"/>
        <v>20034</v>
      </c>
      <c r="I24" s="133">
        <f t="shared" si="1"/>
        <v>0.4</v>
      </c>
      <c r="J24" s="82">
        <v>0</v>
      </c>
      <c r="K24" s="82"/>
      <c r="L24" s="82"/>
      <c r="M24" s="82"/>
      <c r="N24" s="82">
        <v>4173.75</v>
      </c>
      <c r="O24" s="82">
        <v>4173.75</v>
      </c>
      <c r="P24" s="82"/>
      <c r="Q24" s="82"/>
      <c r="R24" s="82"/>
      <c r="S24" s="23"/>
      <c r="T24" s="23"/>
      <c r="U24" s="23">
        <v>11686.5</v>
      </c>
      <c r="V24" s="7" t="s">
        <v>512</v>
      </c>
      <c r="W24" s="82">
        <f t="shared" si="2"/>
        <v>30051</v>
      </c>
      <c r="X24" s="4"/>
      <c r="Y24" s="4"/>
      <c r="Z24" s="4"/>
      <c r="AA24" s="82">
        <v>0</v>
      </c>
      <c r="AB24" s="82"/>
      <c r="AC24" s="82"/>
      <c r="AD24" s="82"/>
      <c r="AE24" s="7" t="s">
        <v>385</v>
      </c>
      <c r="AH24" s="23">
        <f>SUM('2020 detail'!J24:U24)+'2020 detail'!AA24+'2020 detail'!AB24</f>
        <v>39580.270000000011</v>
      </c>
      <c r="AJ24" s="23">
        <f t="shared" si="3"/>
        <v>-19546.270000000011</v>
      </c>
      <c r="AL24" t="str">
        <f t="shared" si="4"/>
        <v>Down</v>
      </c>
      <c r="AQ24" s="23">
        <v>11686.5</v>
      </c>
    </row>
    <row r="25" spans="1:43" x14ac:dyDescent="0.2">
      <c r="A25" s="234" t="s">
        <v>34</v>
      </c>
      <c r="B25" s="9" t="s">
        <v>495</v>
      </c>
      <c r="C25" s="9">
        <v>0</v>
      </c>
      <c r="D25" s="9" t="s">
        <v>495</v>
      </c>
      <c r="E25" s="9"/>
      <c r="F25" s="9" t="s">
        <v>495</v>
      </c>
      <c r="G25" s="83">
        <v>20033</v>
      </c>
      <c r="H25" s="83">
        <f t="shared" si="0"/>
        <v>20033</v>
      </c>
      <c r="I25" s="133">
        <f t="shared" si="1"/>
        <v>1</v>
      </c>
      <c r="J25" s="82">
        <v>1669.49</v>
      </c>
      <c r="K25" s="82">
        <v>1669.41</v>
      </c>
      <c r="L25" s="82">
        <v>1669.41</v>
      </c>
      <c r="M25" s="82">
        <v>1669.41</v>
      </c>
      <c r="N25" s="82">
        <v>1669.41</v>
      </c>
      <c r="O25" s="82">
        <v>1669.41</v>
      </c>
      <c r="P25" s="82">
        <v>1669.41</v>
      </c>
      <c r="Q25" s="82">
        <v>1669.41</v>
      </c>
      <c r="R25" s="82">
        <v>1669.41</v>
      </c>
      <c r="S25" s="23">
        <v>1669.41</v>
      </c>
      <c r="T25" s="23">
        <v>1669.41</v>
      </c>
      <c r="U25" s="23">
        <v>1669.41</v>
      </c>
      <c r="V25" s="7" t="s">
        <v>513</v>
      </c>
      <c r="W25" s="82">
        <f t="shared" si="2"/>
        <v>0</v>
      </c>
      <c r="X25" s="4"/>
      <c r="Y25" s="4"/>
      <c r="Z25" s="4"/>
      <c r="AA25" s="82">
        <v>0</v>
      </c>
      <c r="AB25" s="82"/>
      <c r="AC25" s="82"/>
      <c r="AD25" s="82"/>
      <c r="AE25" s="7" t="s">
        <v>385</v>
      </c>
      <c r="AH25" s="23">
        <f>SUM('2020 detail'!J25:U25)+'2020 detail'!AA25+'2020 detail'!AB25</f>
        <v>16683.98</v>
      </c>
      <c r="AJ25" s="23">
        <f t="shared" si="3"/>
        <v>3349.0200000000004</v>
      </c>
      <c r="AL25" t="str">
        <f t="shared" si="4"/>
        <v>Up</v>
      </c>
      <c r="AQ25" s="23">
        <v>1669.41</v>
      </c>
    </row>
    <row r="26" spans="1:43" x14ac:dyDescent="0.2">
      <c r="A26" s="234" t="s">
        <v>35</v>
      </c>
      <c r="B26" s="9">
        <v>0</v>
      </c>
      <c r="C26" s="9" t="s">
        <v>495</v>
      </c>
      <c r="D26" s="9">
        <v>0</v>
      </c>
      <c r="E26" s="9"/>
      <c r="F26" s="9" t="s">
        <v>495</v>
      </c>
      <c r="G26" s="83">
        <v>10083</v>
      </c>
      <c r="H26" s="83">
        <f t="shared" si="0"/>
        <v>7799.9700000000012</v>
      </c>
      <c r="I26" s="133">
        <f t="shared" si="1"/>
        <v>0.77359999999999995</v>
      </c>
      <c r="J26" s="82">
        <v>1711.8</v>
      </c>
      <c r="K26" s="82">
        <v>761.1</v>
      </c>
      <c r="L26" s="82">
        <v>761.01</v>
      </c>
      <c r="M26" s="82">
        <v>761.01</v>
      </c>
      <c r="N26" s="82">
        <v>761.01</v>
      </c>
      <c r="O26" s="82">
        <v>761.01</v>
      </c>
      <c r="P26" s="82">
        <v>761.01</v>
      </c>
      <c r="Q26" s="82">
        <v>761.01</v>
      </c>
      <c r="R26" s="82">
        <v>761.01</v>
      </c>
      <c r="S26" s="23">
        <v>0</v>
      </c>
      <c r="T26" s="23">
        <v>0</v>
      </c>
      <c r="U26" s="23">
        <v>0</v>
      </c>
      <c r="V26" s="7" t="s">
        <v>514</v>
      </c>
      <c r="W26" s="82">
        <f t="shared" si="2"/>
        <v>2283.0299999999988</v>
      </c>
      <c r="X26" s="4"/>
      <c r="Y26" s="4"/>
      <c r="Z26" s="4"/>
      <c r="AA26" s="82">
        <v>0</v>
      </c>
      <c r="AB26" s="82"/>
      <c r="AC26" s="82"/>
      <c r="AD26" s="82"/>
      <c r="AE26" s="7" t="s">
        <v>383</v>
      </c>
      <c r="AH26" s="23">
        <f>SUM('2020 detail'!J26:U26)+'2020 detail'!AA26+'2020 detail'!AB26</f>
        <v>7413.51</v>
      </c>
      <c r="AJ26" s="23">
        <f t="shared" si="3"/>
        <v>386.46000000000095</v>
      </c>
      <c r="AL26" t="str">
        <f t="shared" si="4"/>
        <v>Up</v>
      </c>
      <c r="AQ26" s="23">
        <v>0</v>
      </c>
    </row>
    <row r="27" spans="1:43" x14ac:dyDescent="0.2">
      <c r="A27" s="234" t="s">
        <v>36</v>
      </c>
      <c r="B27" s="9" t="s">
        <v>495</v>
      </c>
      <c r="C27" s="9" t="s">
        <v>495</v>
      </c>
      <c r="D27" s="9" t="s">
        <v>495</v>
      </c>
      <c r="E27" s="9"/>
      <c r="F27" s="9" t="s">
        <v>495</v>
      </c>
      <c r="G27" s="83">
        <v>6161</v>
      </c>
      <c r="H27" s="83">
        <f t="shared" si="0"/>
        <v>2167.5600000000004</v>
      </c>
      <c r="I27" s="133">
        <f t="shared" si="1"/>
        <v>0.3518</v>
      </c>
      <c r="J27" s="82">
        <v>180.63</v>
      </c>
      <c r="K27" s="82">
        <v>180.63</v>
      </c>
      <c r="L27" s="82">
        <v>180.63</v>
      </c>
      <c r="M27" s="82">
        <v>180.63</v>
      </c>
      <c r="N27" s="82">
        <v>180.63</v>
      </c>
      <c r="O27" s="82">
        <v>180.63</v>
      </c>
      <c r="P27" s="82">
        <v>180.63</v>
      </c>
      <c r="Q27" s="82">
        <v>180.63</v>
      </c>
      <c r="R27" s="82">
        <v>180.63</v>
      </c>
      <c r="S27" s="23">
        <v>180.63</v>
      </c>
      <c r="T27" s="23">
        <v>180.63</v>
      </c>
      <c r="U27" s="23">
        <v>180.63</v>
      </c>
      <c r="V27" s="7" t="s">
        <v>515</v>
      </c>
      <c r="W27" s="82">
        <f t="shared" si="2"/>
        <v>3993.4399999999996</v>
      </c>
      <c r="X27" s="4"/>
      <c r="Y27" s="4"/>
      <c r="Z27" s="4"/>
      <c r="AA27" s="82">
        <v>0</v>
      </c>
      <c r="AB27" s="82"/>
      <c r="AC27" s="82"/>
      <c r="AD27" s="82"/>
      <c r="AE27" s="7" t="s">
        <v>383</v>
      </c>
      <c r="AH27" s="23">
        <f>SUM('2020 detail'!J27:U27)+'2020 detail'!AA27+'2020 detail'!AB27</f>
        <v>6161</v>
      </c>
      <c r="AJ27" s="23">
        <f t="shared" si="3"/>
        <v>-3993.4399999999996</v>
      </c>
      <c r="AL27" t="str">
        <f t="shared" si="4"/>
        <v>Down</v>
      </c>
      <c r="AQ27" s="23">
        <v>180.63</v>
      </c>
    </row>
    <row r="28" spans="1:43" x14ac:dyDescent="0.2">
      <c r="A28" s="234" t="s">
        <v>37</v>
      </c>
      <c r="B28" s="9">
        <v>0</v>
      </c>
      <c r="C28" s="9">
        <v>0</v>
      </c>
      <c r="D28" s="9">
        <v>0</v>
      </c>
      <c r="E28" s="9"/>
      <c r="F28" s="9" t="s">
        <v>495</v>
      </c>
      <c r="G28" s="83">
        <v>6254</v>
      </c>
      <c r="H28" s="83">
        <f t="shared" si="0"/>
        <v>6254.0000000000009</v>
      </c>
      <c r="I28" s="133">
        <f t="shared" si="1"/>
        <v>1</v>
      </c>
      <c r="J28" s="82">
        <v>560.36</v>
      </c>
      <c r="K28" s="82">
        <v>517.64</v>
      </c>
      <c r="L28" s="82">
        <v>517.6</v>
      </c>
      <c r="M28" s="82">
        <v>517.6</v>
      </c>
      <c r="N28" s="82">
        <v>517.6</v>
      </c>
      <c r="O28" s="82">
        <v>517.6</v>
      </c>
      <c r="P28" s="82">
        <v>517.6</v>
      </c>
      <c r="Q28" s="82">
        <v>517.6</v>
      </c>
      <c r="R28" s="82">
        <v>517.6</v>
      </c>
      <c r="S28" s="23">
        <v>517.6</v>
      </c>
      <c r="T28" s="23">
        <v>517.6</v>
      </c>
      <c r="U28" s="23">
        <v>517.6</v>
      </c>
      <c r="V28" s="7" t="s">
        <v>516</v>
      </c>
      <c r="W28" s="82">
        <f t="shared" si="2"/>
        <v>0</v>
      </c>
      <c r="X28" s="4"/>
      <c r="Y28" s="4"/>
      <c r="Z28" s="4"/>
      <c r="AA28" s="82">
        <v>0</v>
      </c>
      <c r="AB28" s="82"/>
      <c r="AC28" s="82"/>
      <c r="AD28" s="82"/>
      <c r="AE28" s="7" t="s">
        <v>383</v>
      </c>
      <c r="AH28" s="23">
        <f>SUM('2020 detail'!J28:U28)+'2020 detail'!AA28+'2020 detail'!AB28</f>
        <v>4482.88</v>
      </c>
      <c r="AJ28" s="23">
        <f t="shared" si="3"/>
        <v>1771.1200000000008</v>
      </c>
      <c r="AL28" t="str">
        <f t="shared" si="4"/>
        <v>Up</v>
      </c>
      <c r="AQ28" s="23">
        <v>517.6</v>
      </c>
    </row>
    <row r="29" spans="1:43" x14ac:dyDescent="0.2">
      <c r="A29" s="234" t="s">
        <v>38</v>
      </c>
      <c r="B29" s="9" t="s">
        <v>495</v>
      </c>
      <c r="C29" s="9">
        <v>0</v>
      </c>
      <c r="D29" s="9">
        <v>0</v>
      </c>
      <c r="E29" s="9"/>
      <c r="F29" s="9" t="s">
        <v>495</v>
      </c>
      <c r="G29" s="83">
        <v>35383</v>
      </c>
      <c r="H29" s="83">
        <f t="shared" si="0"/>
        <v>29874.5</v>
      </c>
      <c r="I29" s="133">
        <f t="shared" si="1"/>
        <v>0.84430000000000005</v>
      </c>
      <c r="J29" s="82">
        <v>5086.2299999999996</v>
      </c>
      <c r="K29" s="82">
        <v>2754.27</v>
      </c>
      <c r="L29" s="82">
        <v>2754.25</v>
      </c>
      <c r="M29" s="82">
        <v>2754.25</v>
      </c>
      <c r="N29" s="82">
        <v>2754.25</v>
      </c>
      <c r="O29" s="82">
        <v>2754.25</v>
      </c>
      <c r="P29" s="82">
        <v>2754.25</v>
      </c>
      <c r="Q29" s="82">
        <v>2754.25</v>
      </c>
      <c r="R29" s="82">
        <v>2754.25</v>
      </c>
      <c r="S29" s="23">
        <v>2754.25</v>
      </c>
      <c r="T29" s="23">
        <v>0</v>
      </c>
      <c r="U29" s="23">
        <v>0</v>
      </c>
      <c r="V29" s="7" t="s">
        <v>517</v>
      </c>
      <c r="W29" s="82">
        <f t="shared" si="2"/>
        <v>5508.5</v>
      </c>
      <c r="X29" s="4"/>
      <c r="Y29" s="4"/>
      <c r="Z29" s="4"/>
      <c r="AA29" s="82">
        <v>0</v>
      </c>
      <c r="AB29" s="82"/>
      <c r="AC29" s="82"/>
      <c r="AD29" s="82"/>
      <c r="AE29" s="7" t="s">
        <v>383</v>
      </c>
      <c r="AH29" s="23">
        <f>SUM('2020 detail'!J29:U29)+'2020 detail'!AA29+'2020 detail'!AB29</f>
        <v>30296.769999999997</v>
      </c>
      <c r="AJ29" s="23">
        <f t="shared" si="3"/>
        <v>-422.2699999999968</v>
      </c>
      <c r="AL29" t="str">
        <f t="shared" si="4"/>
        <v>Down</v>
      </c>
      <c r="AQ29" s="23">
        <v>0</v>
      </c>
    </row>
    <row r="30" spans="1:43" x14ac:dyDescent="0.2">
      <c r="A30" s="234" t="s">
        <v>39</v>
      </c>
      <c r="B30" s="9">
        <v>0</v>
      </c>
      <c r="C30" s="9">
        <v>0</v>
      </c>
      <c r="D30" s="9">
        <v>0</v>
      </c>
      <c r="E30" s="9"/>
      <c r="F30" s="9">
        <v>0</v>
      </c>
      <c r="G30" s="83">
        <v>9804</v>
      </c>
      <c r="H30" s="83">
        <f t="shared" si="0"/>
        <v>6500</v>
      </c>
      <c r="I30" s="133">
        <f t="shared" si="1"/>
        <v>0.66300000000000003</v>
      </c>
      <c r="J30" s="82">
        <v>0</v>
      </c>
      <c r="K30" s="82"/>
      <c r="L30" s="82"/>
      <c r="M30" s="82"/>
      <c r="N30" s="82"/>
      <c r="O30" s="82"/>
      <c r="P30" s="82"/>
      <c r="Q30" s="82"/>
      <c r="R30" s="82"/>
      <c r="S30" s="23"/>
      <c r="T30" s="23"/>
      <c r="U30" s="23">
        <v>6500</v>
      </c>
      <c r="V30" s="7" t="s">
        <v>518</v>
      </c>
      <c r="W30" s="82">
        <f t="shared" si="2"/>
        <v>3304</v>
      </c>
      <c r="X30" s="4"/>
      <c r="Y30" s="4"/>
      <c r="Z30" s="4"/>
      <c r="AA30" s="82">
        <v>0</v>
      </c>
      <c r="AB30" s="82"/>
      <c r="AC30" s="82"/>
      <c r="AD30" s="82"/>
      <c r="AE30" s="7" t="s">
        <v>383</v>
      </c>
      <c r="AH30" s="23">
        <f>SUM('2020 detail'!J30:U30)+'2020 detail'!AA30+'2020 detail'!AB30</f>
        <v>6500</v>
      </c>
      <c r="AJ30" s="23">
        <f t="shared" si="3"/>
        <v>0</v>
      </c>
      <c r="AL30" t="str">
        <f t="shared" si="4"/>
        <v>Same</v>
      </c>
      <c r="AQ30" s="23">
        <v>6500</v>
      </c>
    </row>
    <row r="31" spans="1:43" x14ac:dyDescent="0.2">
      <c r="A31" s="234" t="s">
        <v>40</v>
      </c>
      <c r="B31" s="9" t="s">
        <v>495</v>
      </c>
      <c r="C31" s="9" t="s">
        <v>495</v>
      </c>
      <c r="D31" s="9" t="s">
        <v>495</v>
      </c>
      <c r="E31" s="9"/>
      <c r="F31" s="9">
        <v>0</v>
      </c>
      <c r="G31" s="83">
        <v>17374</v>
      </c>
      <c r="H31" s="83">
        <f t="shared" si="0"/>
        <v>15051.000000000002</v>
      </c>
      <c r="I31" s="133">
        <f t="shared" si="1"/>
        <v>0.86629999999999996</v>
      </c>
      <c r="J31" s="82">
        <v>0</v>
      </c>
      <c r="K31" s="82"/>
      <c r="L31" s="82"/>
      <c r="M31" s="82">
        <v>2750.04</v>
      </c>
      <c r="N31" s="82"/>
      <c r="O31" s="82">
        <v>4025.06</v>
      </c>
      <c r="P31" s="82"/>
      <c r="Q31" s="82"/>
      <c r="R31" s="82">
        <v>3402.8</v>
      </c>
      <c r="S31" s="23"/>
      <c r="T31" s="23"/>
      <c r="U31" s="23">
        <v>4561.1000000000004</v>
      </c>
      <c r="V31" s="7" t="s">
        <v>519</v>
      </c>
      <c r="W31" s="82">
        <f t="shared" si="2"/>
        <v>2322.9999999999982</v>
      </c>
      <c r="X31" s="4"/>
      <c r="Y31" s="4"/>
      <c r="Z31" s="4"/>
      <c r="AA31" s="82">
        <v>312</v>
      </c>
      <c r="AB31" s="82"/>
      <c r="AC31" s="82"/>
      <c r="AD31" s="82"/>
      <c r="AE31" s="158" t="s">
        <v>384</v>
      </c>
      <c r="AH31" s="23">
        <f>SUM('2020 detail'!J31:U31)+'2020 detail'!AA31+'2020 detail'!AB31</f>
        <v>0</v>
      </c>
      <c r="AJ31" s="23">
        <f t="shared" si="3"/>
        <v>15051.000000000002</v>
      </c>
      <c r="AL31" t="str">
        <f t="shared" si="4"/>
        <v>Up</v>
      </c>
      <c r="AQ31" s="23">
        <v>4561.1000000000004</v>
      </c>
    </row>
    <row r="32" spans="1:43" x14ac:dyDescent="0.2">
      <c r="A32" s="234" t="s">
        <v>41</v>
      </c>
      <c r="B32" s="9">
        <v>0</v>
      </c>
      <c r="C32" s="9" t="s">
        <v>495</v>
      </c>
      <c r="D32" s="9" t="s">
        <v>495</v>
      </c>
      <c r="E32" s="9"/>
      <c r="F32" s="9">
        <v>0</v>
      </c>
      <c r="G32" s="83">
        <v>4865</v>
      </c>
      <c r="H32" s="83">
        <f t="shared" si="0"/>
        <v>4127</v>
      </c>
      <c r="I32" s="133">
        <f t="shared" si="1"/>
        <v>0.84830000000000005</v>
      </c>
      <c r="J32" s="82">
        <v>0</v>
      </c>
      <c r="K32" s="82"/>
      <c r="L32" s="82"/>
      <c r="M32" s="82">
        <v>770.06</v>
      </c>
      <c r="N32" s="82"/>
      <c r="O32" s="82">
        <v>1127.08</v>
      </c>
      <c r="P32" s="82"/>
      <c r="Q32" s="82"/>
      <c r="R32" s="82">
        <v>952.84</v>
      </c>
      <c r="S32" s="23"/>
      <c r="T32" s="23"/>
      <c r="U32" s="23">
        <v>1277.02</v>
      </c>
      <c r="V32" s="7" t="s">
        <v>520</v>
      </c>
      <c r="W32" s="82">
        <f t="shared" si="2"/>
        <v>738</v>
      </c>
      <c r="X32" s="4"/>
      <c r="Y32" s="4"/>
      <c r="Z32" s="4"/>
      <c r="AA32" s="82">
        <v>0</v>
      </c>
      <c r="AB32" s="82"/>
      <c r="AC32" s="82"/>
      <c r="AD32" s="82"/>
      <c r="AE32" s="158" t="s">
        <v>384</v>
      </c>
      <c r="AH32" s="23">
        <f>SUM('2020 detail'!J32:U32)+'2020 detail'!AA32+'2020 detail'!AB32</f>
        <v>0</v>
      </c>
      <c r="AJ32" s="23">
        <f t="shared" si="3"/>
        <v>4127</v>
      </c>
      <c r="AL32" t="str">
        <f t="shared" si="4"/>
        <v>Up</v>
      </c>
      <c r="AQ32" s="23">
        <v>1277.02</v>
      </c>
    </row>
    <row r="33" spans="1:43" x14ac:dyDescent="0.2">
      <c r="A33" s="234" t="s">
        <v>42</v>
      </c>
      <c r="B33" s="9">
        <v>0</v>
      </c>
      <c r="C33" s="9">
        <v>0</v>
      </c>
      <c r="D33" s="9" t="s">
        <v>495</v>
      </c>
      <c r="E33" s="9"/>
      <c r="F33" s="9">
        <v>0</v>
      </c>
      <c r="G33" s="83">
        <v>14941</v>
      </c>
      <c r="H33" s="83">
        <f t="shared" si="0"/>
        <v>12675</v>
      </c>
      <c r="I33" s="133">
        <f t="shared" si="1"/>
        <v>0.84830000000000005</v>
      </c>
      <c r="J33" s="82">
        <v>0</v>
      </c>
      <c r="K33" s="82"/>
      <c r="L33" s="82"/>
      <c r="M33" s="82">
        <v>2364.9299999999998</v>
      </c>
      <c r="N33" s="82"/>
      <c r="O33" s="82">
        <v>3461.4</v>
      </c>
      <c r="P33" s="82"/>
      <c r="Q33" s="82"/>
      <c r="R33" s="82">
        <v>2926.28</v>
      </c>
      <c r="S33" s="23"/>
      <c r="T33" s="23"/>
      <c r="U33" s="23">
        <v>3922.39</v>
      </c>
      <c r="V33" s="7" t="s">
        <v>521</v>
      </c>
      <c r="W33" s="82">
        <f t="shared" si="2"/>
        <v>2266</v>
      </c>
      <c r="X33" s="4"/>
      <c r="Y33" s="4"/>
      <c r="Z33" s="4"/>
      <c r="AA33" s="82">
        <v>0</v>
      </c>
      <c r="AB33" s="82"/>
      <c r="AC33" s="82"/>
      <c r="AD33" s="82"/>
      <c r="AE33" s="158" t="s">
        <v>384</v>
      </c>
      <c r="AH33" s="23">
        <f>SUM('2020 detail'!J33:U33)+'2020 detail'!AA33+'2020 detail'!AB33</f>
        <v>0</v>
      </c>
      <c r="AJ33" s="23">
        <f t="shared" si="3"/>
        <v>12675</v>
      </c>
      <c r="AL33" t="str">
        <f t="shared" si="4"/>
        <v>Up</v>
      </c>
      <c r="AQ33" s="23">
        <v>3922.39</v>
      </c>
    </row>
    <row r="34" spans="1:43" x14ac:dyDescent="0.2">
      <c r="A34" s="234" t="s">
        <v>43</v>
      </c>
      <c r="B34" s="9" t="s">
        <v>495</v>
      </c>
      <c r="C34" s="9" t="s">
        <v>495</v>
      </c>
      <c r="D34" s="9" t="s">
        <v>495</v>
      </c>
      <c r="E34" s="9"/>
      <c r="F34" s="9" t="s">
        <v>495</v>
      </c>
      <c r="G34" s="83">
        <v>7887</v>
      </c>
      <c r="H34" s="83">
        <f t="shared" si="0"/>
        <v>7886.9999999999982</v>
      </c>
      <c r="I34" s="133">
        <f t="shared" si="1"/>
        <v>1</v>
      </c>
      <c r="J34" s="82">
        <v>1160.24</v>
      </c>
      <c r="K34" s="82">
        <v>1160.24</v>
      </c>
      <c r="L34" s="82">
        <v>556.66999999999996</v>
      </c>
      <c r="M34" s="82">
        <v>556.65</v>
      </c>
      <c r="N34" s="82">
        <v>556.65</v>
      </c>
      <c r="O34" s="82">
        <v>556.65</v>
      </c>
      <c r="P34" s="82">
        <v>556.65</v>
      </c>
      <c r="Q34" s="82">
        <v>556.65</v>
      </c>
      <c r="R34" s="82">
        <v>556.65</v>
      </c>
      <c r="S34" s="23">
        <v>556.65</v>
      </c>
      <c r="T34" s="23">
        <v>556.65</v>
      </c>
      <c r="U34" s="23">
        <v>556.65</v>
      </c>
      <c r="V34" s="7" t="s">
        <v>522</v>
      </c>
      <c r="W34" s="82">
        <f t="shared" si="2"/>
        <v>0</v>
      </c>
      <c r="X34" s="4"/>
      <c r="Y34" s="4"/>
      <c r="Z34" s="4"/>
      <c r="AA34" s="82">
        <v>0</v>
      </c>
      <c r="AB34" s="82"/>
      <c r="AC34" s="82"/>
      <c r="AD34" s="82"/>
      <c r="AE34" s="7" t="s">
        <v>382</v>
      </c>
      <c r="AH34" s="23">
        <f>SUM('2020 detail'!J34:U34)+'2020 detail'!AA34+'2020 detail'!AB34</f>
        <v>13768.999999999998</v>
      </c>
      <c r="AJ34" s="23">
        <f t="shared" si="3"/>
        <v>-5882</v>
      </c>
      <c r="AL34" t="str">
        <f t="shared" si="4"/>
        <v>Down</v>
      </c>
      <c r="AQ34" s="23">
        <v>556.65</v>
      </c>
    </row>
    <row r="35" spans="1:43" x14ac:dyDescent="0.2">
      <c r="A35" s="234" t="s">
        <v>44</v>
      </c>
      <c r="B35" s="9" t="s">
        <v>495</v>
      </c>
      <c r="C35" s="9" t="s">
        <v>495</v>
      </c>
      <c r="D35" s="9" t="s">
        <v>495</v>
      </c>
      <c r="E35" s="9"/>
      <c r="F35" s="9">
        <v>0</v>
      </c>
      <c r="G35" s="83">
        <v>10772</v>
      </c>
      <c r="H35" s="83">
        <f t="shared" si="0"/>
        <v>9138</v>
      </c>
      <c r="I35" s="133">
        <f t="shared" si="1"/>
        <v>0.84830000000000005</v>
      </c>
      <c r="J35" s="82">
        <v>0</v>
      </c>
      <c r="K35" s="82"/>
      <c r="L35" s="82"/>
      <c r="M35" s="82">
        <v>1705.04</v>
      </c>
      <c r="N35" s="82"/>
      <c r="O35" s="82">
        <v>2495.56</v>
      </c>
      <c r="P35" s="82"/>
      <c r="Q35" s="82"/>
      <c r="R35" s="82">
        <v>2109.7600000000002</v>
      </c>
      <c r="S35" s="23"/>
      <c r="T35" s="23"/>
      <c r="U35" s="23">
        <v>2827.64</v>
      </c>
      <c r="V35" s="7" t="s">
        <v>523</v>
      </c>
      <c r="W35" s="82">
        <f t="shared" si="2"/>
        <v>1634</v>
      </c>
      <c r="X35" s="4"/>
      <c r="Y35" s="4"/>
      <c r="Z35" s="4"/>
      <c r="AA35" s="82">
        <v>0</v>
      </c>
      <c r="AB35" s="82"/>
      <c r="AC35" s="82"/>
      <c r="AD35" s="82"/>
      <c r="AE35" s="158" t="s">
        <v>384</v>
      </c>
      <c r="AH35" s="23">
        <f>SUM('2020 detail'!J35:U35)+'2020 detail'!AA35+'2020 detail'!AB35</f>
        <v>0</v>
      </c>
      <c r="AJ35" s="23">
        <f t="shared" si="3"/>
        <v>9138</v>
      </c>
      <c r="AL35" t="str">
        <f t="shared" si="4"/>
        <v>Up</v>
      </c>
      <c r="AQ35" s="23">
        <v>2827.64</v>
      </c>
    </row>
    <row r="36" spans="1:43" x14ac:dyDescent="0.2">
      <c r="A36" s="234" t="s">
        <v>45</v>
      </c>
      <c r="B36" s="9" t="s">
        <v>495</v>
      </c>
      <c r="C36" s="9" t="s">
        <v>495</v>
      </c>
      <c r="D36" s="9" t="s">
        <v>495</v>
      </c>
      <c r="E36" s="9"/>
      <c r="F36" s="9" t="s">
        <v>495</v>
      </c>
      <c r="G36" s="83">
        <v>19789</v>
      </c>
      <c r="H36" s="83">
        <f t="shared" si="0"/>
        <v>6000</v>
      </c>
      <c r="I36" s="133">
        <f t="shared" si="1"/>
        <v>0.30320000000000003</v>
      </c>
      <c r="J36" s="82">
        <v>500</v>
      </c>
      <c r="K36" s="82">
        <v>500</v>
      </c>
      <c r="L36" s="82">
        <v>500</v>
      </c>
      <c r="M36" s="82">
        <v>500</v>
      </c>
      <c r="N36" s="82">
        <v>500</v>
      </c>
      <c r="O36" s="82">
        <v>500</v>
      </c>
      <c r="P36" s="82">
        <v>500</v>
      </c>
      <c r="Q36" s="82">
        <v>500</v>
      </c>
      <c r="R36" s="82">
        <v>500</v>
      </c>
      <c r="S36" s="23">
        <v>500</v>
      </c>
      <c r="T36" s="23">
        <v>500</v>
      </c>
      <c r="U36" s="23">
        <v>500</v>
      </c>
      <c r="V36" s="7" t="s">
        <v>524</v>
      </c>
      <c r="W36" s="82">
        <f t="shared" si="2"/>
        <v>13789</v>
      </c>
      <c r="X36" s="4"/>
      <c r="Y36" s="4"/>
      <c r="Z36" s="4"/>
      <c r="AA36" s="82">
        <v>0</v>
      </c>
      <c r="AB36" s="82"/>
      <c r="AC36" s="82"/>
      <c r="AD36" s="82"/>
      <c r="AE36" s="7" t="s">
        <v>381</v>
      </c>
      <c r="AH36" s="23">
        <f>SUM('2020 detail'!J36:U36)+'2020 detail'!AA36+'2020 detail'!AB36</f>
        <v>6000</v>
      </c>
      <c r="AJ36" s="23">
        <f t="shared" si="3"/>
        <v>0</v>
      </c>
      <c r="AL36" t="str">
        <f t="shared" si="4"/>
        <v>Same</v>
      </c>
      <c r="AQ36" s="23">
        <v>500</v>
      </c>
    </row>
    <row r="37" spans="1:43" x14ac:dyDescent="0.2">
      <c r="A37" s="234" t="s">
        <v>46</v>
      </c>
      <c r="B37" s="9" t="s">
        <v>495</v>
      </c>
      <c r="C37" s="9" t="s">
        <v>495</v>
      </c>
      <c r="D37" s="9">
        <v>0</v>
      </c>
      <c r="E37" s="9"/>
      <c r="F37" s="9" t="s">
        <v>495</v>
      </c>
      <c r="G37" s="83">
        <v>13547</v>
      </c>
      <c r="H37" s="83">
        <f t="shared" si="0"/>
        <v>13547</v>
      </c>
      <c r="I37" s="133">
        <f t="shared" si="1"/>
        <v>1</v>
      </c>
      <c r="J37" s="82">
        <v>1128.99</v>
      </c>
      <c r="K37" s="82">
        <v>1128.9100000000001</v>
      </c>
      <c r="L37" s="82">
        <v>1128.9100000000001</v>
      </c>
      <c r="M37" s="82">
        <v>1128.9100000000001</v>
      </c>
      <c r="N37" s="82">
        <v>1128.9100000000001</v>
      </c>
      <c r="O37" s="82">
        <v>1128.9100000000001</v>
      </c>
      <c r="P37" s="82">
        <v>1128.9100000000001</v>
      </c>
      <c r="Q37" s="82">
        <v>1128.9100000000001</v>
      </c>
      <c r="R37" s="82">
        <v>1128.9100000000001</v>
      </c>
      <c r="S37" s="23">
        <v>1128.9100000000001</v>
      </c>
      <c r="T37" s="23">
        <v>1128.9100000000001</v>
      </c>
      <c r="U37" s="23">
        <v>1128.9100000000001</v>
      </c>
      <c r="V37" s="7" t="s">
        <v>525</v>
      </c>
      <c r="W37" s="82">
        <f t="shared" si="2"/>
        <v>0</v>
      </c>
      <c r="X37" s="4"/>
      <c r="Y37" s="4"/>
      <c r="Z37" s="4"/>
      <c r="AA37" s="82">
        <v>0</v>
      </c>
      <c r="AB37" s="82"/>
      <c r="AC37" s="82"/>
      <c r="AD37" s="82"/>
      <c r="AE37" s="7" t="s">
        <v>381</v>
      </c>
      <c r="AH37" s="23">
        <f>SUM('2020 detail'!J37:U37)+'2020 detail'!AA37+'2020 detail'!AB37</f>
        <v>16976</v>
      </c>
      <c r="AJ37" s="23">
        <f t="shared" si="3"/>
        <v>-3429</v>
      </c>
      <c r="AL37" t="str">
        <f t="shared" si="4"/>
        <v>Down</v>
      </c>
      <c r="AQ37" s="23">
        <v>1128.9100000000001</v>
      </c>
    </row>
    <row r="38" spans="1:43" x14ac:dyDescent="0.2">
      <c r="B38" s="9"/>
      <c r="C38" s="9"/>
      <c r="E38" s="9"/>
      <c r="F38" s="9"/>
      <c r="G38" s="205"/>
      <c r="H38" s="197"/>
      <c r="I38" s="133"/>
      <c r="W38" s="82"/>
      <c r="X38" s="4"/>
      <c r="Y38" s="4"/>
      <c r="Z38" s="4"/>
      <c r="AA38" s="82"/>
      <c r="AB38" s="82"/>
      <c r="AC38" s="82"/>
      <c r="AD38" s="82"/>
      <c r="AJ38" s="23"/>
    </row>
    <row r="39" spans="1:43" x14ac:dyDescent="0.2">
      <c r="A39" s="235" t="s">
        <v>1056</v>
      </c>
      <c r="G39" s="83">
        <f>SUM(G8:G38)</f>
        <v>481879</v>
      </c>
      <c r="H39" s="83">
        <f>SUM(H8:H38)</f>
        <v>359442.07999999996</v>
      </c>
      <c r="I39" s="133">
        <f t="shared" si="1"/>
        <v>0.74590000000000001</v>
      </c>
      <c r="J39" s="83">
        <f>SUM(J8:J38)</f>
        <v>16499.91</v>
      </c>
      <c r="K39" s="83">
        <f t="shared" ref="K39:W39" si="5">SUM(K8:K38)</f>
        <v>19378.28</v>
      </c>
      <c r="L39" s="83">
        <f t="shared" si="5"/>
        <v>21483.559999999998</v>
      </c>
      <c r="M39" s="83">
        <f t="shared" si="5"/>
        <v>30933.540000000005</v>
      </c>
      <c r="N39" s="83">
        <f t="shared" si="5"/>
        <v>27417.29</v>
      </c>
      <c r="O39" s="83">
        <f t="shared" si="5"/>
        <v>42207.29</v>
      </c>
      <c r="P39" s="83">
        <f t="shared" si="5"/>
        <v>21733.54</v>
      </c>
      <c r="Q39" s="83">
        <f t="shared" si="5"/>
        <v>17233.54</v>
      </c>
      <c r="R39" s="83">
        <f t="shared" si="5"/>
        <v>37544.540000000008</v>
      </c>
      <c r="S39" s="4">
        <f t="shared" si="5"/>
        <v>23797.530000000002</v>
      </c>
      <c r="T39" s="4">
        <f t="shared" si="5"/>
        <v>26230.280000000002</v>
      </c>
      <c r="U39" s="4">
        <f t="shared" si="5"/>
        <v>74670.78</v>
      </c>
      <c r="V39" s="77"/>
      <c r="W39" s="82">
        <f t="shared" si="5"/>
        <v>122436.92</v>
      </c>
      <c r="X39" s="4"/>
      <c r="Y39" s="4"/>
      <c r="Z39" s="4"/>
      <c r="AA39" s="83">
        <f t="shared" ref="AA39:AC39" si="6">SUM(AA8:AA38)</f>
        <v>312</v>
      </c>
      <c r="AB39" s="83">
        <f t="shared" si="6"/>
        <v>0</v>
      </c>
      <c r="AC39" s="83">
        <f t="shared" si="6"/>
        <v>0</v>
      </c>
      <c r="AD39" s="4"/>
      <c r="AH39" s="23">
        <f>SUM(AH8:AH38)</f>
        <v>398327.09</v>
      </c>
      <c r="AJ39" s="23">
        <f t="shared" si="3"/>
        <v>-38885.010000000068</v>
      </c>
      <c r="AM39" s="11">
        <f>SUM(J39:R39)+SUM(S40:U40)+SUM('2020 detail'!AA39:AC39)</f>
        <v>364499.85000000003</v>
      </c>
      <c r="AN39" s="24">
        <f>ROUND((AM39/G39),4)</f>
        <v>0.75639999999999996</v>
      </c>
      <c r="AO39" s="24">
        <f>ROUND((SUM(J40:U40)/G40),4)</f>
        <v>0.72350000000000003</v>
      </c>
      <c r="AQ39" s="23">
        <f>SUM(AQ8:AQ38)</f>
        <v>74670.78</v>
      </c>
    </row>
    <row r="40" spans="1:43" x14ac:dyDescent="0.2">
      <c r="A40" s="236" t="s">
        <v>1057</v>
      </c>
      <c r="G40" s="206">
        <f>'2020 detail'!G39</f>
        <v>521177</v>
      </c>
      <c r="H40" s="206">
        <f>SUM(J40:AC40)</f>
        <v>400584.09</v>
      </c>
      <c r="I40" s="207">
        <f t="shared" si="1"/>
        <v>0.76859999999999995</v>
      </c>
      <c r="J40" s="206">
        <f>'2020 detail'!J39</f>
        <v>24662.540000000005</v>
      </c>
      <c r="K40" s="206">
        <f>'2020 detail'!K39</f>
        <v>33232.620000000003</v>
      </c>
      <c r="L40" s="206">
        <f>'2020 detail'!L39</f>
        <v>31741.309999999998</v>
      </c>
      <c r="M40" s="206">
        <f>'2020 detail'!M39</f>
        <v>27545.500000000004</v>
      </c>
      <c r="N40" s="206">
        <f>'2020 detail'!N39</f>
        <v>31424.499999999996</v>
      </c>
      <c r="O40" s="206">
        <f>'2020 detail'!O39</f>
        <v>22083.73</v>
      </c>
      <c r="P40" s="206">
        <f>'2020 detail'!P39</f>
        <v>39403.01</v>
      </c>
      <c r="Q40" s="206">
        <f>'2020 detail'!Q39</f>
        <v>30820.49</v>
      </c>
      <c r="R40" s="206">
        <f>'2020 detail'!R39</f>
        <v>29602.03</v>
      </c>
      <c r="S40" s="165">
        <f>'2020 detail'!S39</f>
        <v>42669.52</v>
      </c>
      <c r="T40" s="165">
        <f>'2020 detail'!T39</f>
        <v>34654.210000000006</v>
      </c>
      <c r="U40" s="165">
        <f>'2020 detail'!U39</f>
        <v>29213.780000000002</v>
      </c>
      <c r="X40" s="4"/>
      <c r="AA40" s="165">
        <f>'2020 detail'!AA39</f>
        <v>12585.85</v>
      </c>
      <c r="AB40" s="165">
        <f>'2020 detail'!AB39</f>
        <v>8688</v>
      </c>
      <c r="AC40" s="165">
        <f>'2020 detail'!AC39</f>
        <v>2257</v>
      </c>
      <c r="AJ40" s="23"/>
    </row>
    <row r="41" spans="1:43" x14ac:dyDescent="0.2">
      <c r="G41" s="205"/>
      <c r="H41" s="197"/>
      <c r="AJ41" s="23"/>
    </row>
    <row r="42" spans="1:43" ht="15.75" x14ac:dyDescent="0.25">
      <c r="G42" s="196" t="s">
        <v>7</v>
      </c>
      <c r="H42" s="197"/>
      <c r="AH42" s="171" t="s">
        <v>1067</v>
      </c>
      <c r="AI42" s="172"/>
      <c r="AJ42" s="171" t="s">
        <v>1064</v>
      </c>
    </row>
    <row r="43" spans="1:43" x14ac:dyDescent="0.2">
      <c r="G43" s="205"/>
      <c r="H43" s="197"/>
      <c r="AH43" s="171" t="s">
        <v>1096</v>
      </c>
      <c r="AI43" s="172"/>
      <c r="AJ43" s="171" t="s">
        <v>1065</v>
      </c>
    </row>
    <row r="44" spans="1:43" ht="16.5" x14ac:dyDescent="0.25">
      <c r="A44" s="6"/>
      <c r="B44" s="8"/>
      <c r="C44" s="8"/>
      <c r="E44" s="8"/>
      <c r="F44" s="8"/>
      <c r="G44" s="208" t="str">
        <f>$G$3</f>
        <v>2021 PARISH SHARE INFORMATION AS AT 22 FEBRUARY 2022</v>
      </c>
      <c r="H44" s="209"/>
      <c r="W44" s="194"/>
      <c r="X44"/>
      <c r="Y44"/>
      <c r="Z44"/>
      <c r="AA44"/>
      <c r="AB44"/>
      <c r="AC44"/>
      <c r="AH44" s="172"/>
      <c r="AI44" s="172"/>
      <c r="AJ44" s="171" t="s">
        <v>1066</v>
      </c>
    </row>
    <row r="45" spans="1:43" x14ac:dyDescent="0.2">
      <c r="A45" s="6"/>
      <c r="G45" s="205"/>
      <c r="H45" s="197"/>
      <c r="W45" s="194"/>
      <c r="X45"/>
      <c r="Y45"/>
      <c r="Z45"/>
      <c r="AA45"/>
      <c r="AB45"/>
      <c r="AC45"/>
      <c r="AJ45" s="23"/>
    </row>
    <row r="46" spans="1:43" ht="16.5" x14ac:dyDescent="0.25">
      <c r="A46" s="204" t="s">
        <v>1</v>
      </c>
      <c r="B46" s="151" t="str">
        <f>$B$5</f>
        <v>RM</v>
      </c>
      <c r="C46" s="151" t="str">
        <f>$C$5</f>
        <v>RF</v>
      </c>
      <c r="D46" s="151" t="str">
        <f>$D$5</f>
        <v>Accts</v>
      </c>
      <c r="E46" s="151"/>
      <c r="F46" s="151" t="str">
        <f>$F$5</f>
        <v>Share DD</v>
      </c>
      <c r="G46" s="210" t="str">
        <f>$G$5</f>
        <v xml:space="preserve">2021 Share </v>
      </c>
      <c r="H46" s="211" t="str">
        <f>$H$5</f>
        <v xml:space="preserve">2021 Paid </v>
      </c>
      <c r="I46" s="211" t="str">
        <f>$I$5</f>
        <v xml:space="preserve">% Paid </v>
      </c>
      <c r="J46" s="212">
        <f>$J$5</f>
        <v>44227</v>
      </c>
      <c r="K46" s="212">
        <f>$K$5</f>
        <v>44255</v>
      </c>
      <c r="L46" s="212">
        <f>$L$5</f>
        <v>44286</v>
      </c>
      <c r="M46" s="212">
        <f>$M$5</f>
        <v>44316</v>
      </c>
      <c r="N46" s="212">
        <f>$N$5</f>
        <v>44347</v>
      </c>
      <c r="O46" s="212">
        <f>$O$5</f>
        <v>44377</v>
      </c>
      <c r="P46" s="212">
        <f>$P$5</f>
        <v>44408</v>
      </c>
      <c r="Q46" s="212">
        <f>$Q$5</f>
        <v>44439</v>
      </c>
      <c r="R46" s="212">
        <f>$R$5</f>
        <v>44469</v>
      </c>
      <c r="S46" s="155">
        <f>$S$5</f>
        <v>44500</v>
      </c>
      <c r="T46" s="155">
        <f>$T$5</f>
        <v>44530</v>
      </c>
      <c r="U46" s="155">
        <f>$U$5</f>
        <v>44561</v>
      </c>
      <c r="V46" s="78"/>
      <c r="W46" s="195" t="str">
        <f>$W$5</f>
        <v xml:space="preserve">Outstanding </v>
      </c>
      <c r="X46" s="2"/>
      <c r="Y46" s="2"/>
      <c r="Z46" s="2"/>
      <c r="AA46" s="2">
        <f>$AA$5</f>
        <v>44592</v>
      </c>
      <c r="AB46" s="2">
        <f>$AB$5</f>
        <v>44620</v>
      </c>
      <c r="AC46" s="2">
        <f>$AC$5</f>
        <v>44651</v>
      </c>
      <c r="AE46" s="152" t="str">
        <f>$AE$5</f>
        <v>Benefice</v>
      </c>
      <c r="AH46" s="16" t="s">
        <v>1062</v>
      </c>
      <c r="AJ46" s="170" t="s">
        <v>1063</v>
      </c>
      <c r="AQ46" s="222">
        <f>AQ5</f>
        <v>44588</v>
      </c>
    </row>
    <row r="47" spans="1:43" ht="16.5" x14ac:dyDescent="0.25">
      <c r="A47" s="6"/>
      <c r="G47" s="201" t="s">
        <v>1040</v>
      </c>
      <c r="H47" s="202" t="s">
        <v>1040</v>
      </c>
      <c r="I47" s="203"/>
      <c r="J47" s="202" t="s">
        <v>1040</v>
      </c>
      <c r="K47" s="202" t="s">
        <v>1040</v>
      </c>
      <c r="L47" s="202" t="s">
        <v>1040</v>
      </c>
      <c r="M47" s="202" t="s">
        <v>1040</v>
      </c>
      <c r="N47" s="202" t="s">
        <v>1040</v>
      </c>
      <c r="O47" s="202" t="s">
        <v>1040</v>
      </c>
      <c r="P47" s="202" t="s">
        <v>1040</v>
      </c>
      <c r="Q47" s="202" t="s">
        <v>1040</v>
      </c>
      <c r="R47" s="202" t="s">
        <v>1040</v>
      </c>
      <c r="S47" s="147" t="s">
        <v>1040</v>
      </c>
      <c r="T47" s="147" t="s">
        <v>1040</v>
      </c>
      <c r="U47" s="147" t="s">
        <v>1040</v>
      </c>
      <c r="W47" s="194"/>
      <c r="X47"/>
      <c r="Y47"/>
      <c r="Z47"/>
      <c r="AA47"/>
      <c r="AB47"/>
      <c r="AC47"/>
      <c r="AJ47" s="23"/>
    </row>
    <row r="48" spans="1:43" x14ac:dyDescent="0.2">
      <c r="G48" s="205"/>
      <c r="H48" s="197"/>
      <c r="AJ48" s="23"/>
    </row>
    <row r="49" spans="1:45" x14ac:dyDescent="0.2">
      <c r="A49" s="144" t="s">
        <v>47</v>
      </c>
      <c r="B49" s="9" t="s">
        <v>495</v>
      </c>
      <c r="C49" s="9" t="s">
        <v>495</v>
      </c>
      <c r="D49" s="9">
        <v>0</v>
      </c>
      <c r="E49" s="9"/>
      <c r="F49" s="9" t="s">
        <v>495</v>
      </c>
      <c r="G49" s="83">
        <v>26841</v>
      </c>
      <c r="H49" s="83">
        <f>SUM(J49:U49)+SUM(AA49:AC49)</f>
        <v>26841</v>
      </c>
      <c r="I49" s="133">
        <f t="shared" ref="I49" si="7">ROUND((H49/G49),4)</f>
        <v>1</v>
      </c>
      <c r="J49" s="82">
        <v>2684</v>
      </c>
      <c r="K49" s="82"/>
      <c r="L49" s="82">
        <v>5368</v>
      </c>
      <c r="M49" s="82">
        <v>2684</v>
      </c>
      <c r="N49" s="82">
        <v>2684</v>
      </c>
      <c r="O49" s="82">
        <v>2684</v>
      </c>
      <c r="P49" s="82">
        <v>2684</v>
      </c>
      <c r="Q49" s="82">
        <v>2684</v>
      </c>
      <c r="R49" s="82">
        <v>2684</v>
      </c>
      <c r="S49" s="23">
        <v>2685</v>
      </c>
      <c r="T49" s="23"/>
      <c r="U49" s="23"/>
      <c r="V49" s="79" t="s">
        <v>526</v>
      </c>
      <c r="W49" s="82">
        <f t="shared" ref="W49:W79" si="8">G49-H49</f>
        <v>0</v>
      </c>
      <c r="X49" s="4"/>
      <c r="Y49" s="4"/>
      <c r="Z49" s="4"/>
      <c r="AA49" s="82">
        <v>0</v>
      </c>
      <c r="AB49" s="82"/>
      <c r="AC49" s="82"/>
      <c r="AD49" s="23"/>
      <c r="AE49" s="7" t="s">
        <v>386</v>
      </c>
      <c r="AH49" s="23">
        <f>SUM('2020 detail'!J49:U49)+'2020 detail'!AA49+'2020 detail'!AB49</f>
        <v>26840.999999999996</v>
      </c>
      <c r="AJ49" s="23">
        <f t="shared" ref="AJ49:AJ72" si="9">H49-AH49</f>
        <v>0</v>
      </c>
      <c r="AL49" t="str">
        <f>IF(AJ49&lt;0,"Down",IF(AJ49&gt;0,"Up","Same"))</f>
        <v>Same</v>
      </c>
    </row>
    <row r="50" spans="1:45" x14ac:dyDescent="0.2">
      <c r="A50" s="144" t="s">
        <v>48</v>
      </c>
      <c r="B50" s="9" t="s">
        <v>495</v>
      </c>
      <c r="C50" s="9" t="s">
        <v>495</v>
      </c>
      <c r="D50" s="9">
        <v>0</v>
      </c>
      <c r="E50" s="9"/>
      <c r="F50" s="9" t="s">
        <v>495</v>
      </c>
      <c r="G50" s="83">
        <v>8146</v>
      </c>
      <c r="H50" s="83">
        <f t="shared" ref="H50:H79" si="10">SUM(J50:U50)+SUM(AA50:AC50)</f>
        <v>4000</v>
      </c>
      <c r="I50" s="133">
        <f t="shared" ref="I50:I79" si="11">ROUND((H50/G50),4)</f>
        <v>0.49099999999999999</v>
      </c>
      <c r="J50" s="82">
        <v>200</v>
      </c>
      <c r="K50" s="82">
        <v>200</v>
      </c>
      <c r="L50" s="82">
        <v>200</v>
      </c>
      <c r="M50" s="82">
        <v>200</v>
      </c>
      <c r="N50" s="82">
        <v>200</v>
      </c>
      <c r="O50" s="82">
        <v>200</v>
      </c>
      <c r="P50" s="82">
        <v>200</v>
      </c>
      <c r="Q50" s="82">
        <v>200</v>
      </c>
      <c r="R50" s="82">
        <v>200</v>
      </c>
      <c r="S50" s="23">
        <v>1800</v>
      </c>
      <c r="T50" s="23">
        <v>200</v>
      </c>
      <c r="U50" s="23">
        <v>200</v>
      </c>
      <c r="V50" s="79" t="s">
        <v>527</v>
      </c>
      <c r="W50" s="82">
        <f t="shared" si="8"/>
        <v>4146</v>
      </c>
      <c r="X50" s="79"/>
      <c r="Y50" s="79"/>
      <c r="Z50" s="79"/>
      <c r="AA50" s="82">
        <v>0</v>
      </c>
      <c r="AB50" s="82"/>
      <c r="AC50" s="82"/>
      <c r="AD50" s="23"/>
      <c r="AE50" s="7" t="s">
        <v>386</v>
      </c>
      <c r="AH50" s="23">
        <f>SUM('2020 detail'!J50:U50)+'2020 detail'!AA50+'2020 detail'!AB50</f>
        <v>4000</v>
      </c>
      <c r="AJ50" s="23">
        <f t="shared" si="9"/>
        <v>0</v>
      </c>
      <c r="AL50" t="str">
        <f t="shared" ref="AL50:AL79" si="12">IF(AJ50&lt;0,"Down",IF(AJ50&gt;0,"Up","Same"))</f>
        <v>Same</v>
      </c>
      <c r="AQ50" s="23">
        <v>200</v>
      </c>
    </row>
    <row r="51" spans="1:45" x14ac:dyDescent="0.2">
      <c r="A51" s="144" t="s">
        <v>49</v>
      </c>
      <c r="B51" s="9" t="s">
        <v>495</v>
      </c>
      <c r="C51" s="9" t="s">
        <v>495</v>
      </c>
      <c r="D51" s="9">
        <v>0</v>
      </c>
      <c r="E51" s="9"/>
      <c r="F51" s="9">
        <v>0</v>
      </c>
      <c r="G51" s="83">
        <v>34227</v>
      </c>
      <c r="H51" s="83">
        <f t="shared" si="10"/>
        <v>25000</v>
      </c>
      <c r="I51" s="133">
        <f t="shared" si="11"/>
        <v>0.73040000000000005</v>
      </c>
      <c r="J51" s="82">
        <v>1000</v>
      </c>
      <c r="K51" s="82">
        <v>1000</v>
      </c>
      <c r="L51" s="82">
        <v>1000</v>
      </c>
      <c r="M51" s="82">
        <v>2500</v>
      </c>
      <c r="N51" s="82">
        <v>1000</v>
      </c>
      <c r="O51" s="82">
        <v>4000</v>
      </c>
      <c r="P51" s="82">
        <v>3000</v>
      </c>
      <c r="Q51" s="82">
        <v>3000</v>
      </c>
      <c r="R51" s="82">
        <v>3000</v>
      </c>
      <c r="S51" s="23">
        <v>1000</v>
      </c>
      <c r="T51" s="23">
        <v>1000</v>
      </c>
      <c r="U51" s="23">
        <v>3500</v>
      </c>
      <c r="V51" s="79" t="s">
        <v>528</v>
      </c>
      <c r="W51" s="82">
        <f t="shared" si="8"/>
        <v>9227</v>
      </c>
      <c r="X51" s="79"/>
      <c r="Y51" s="79"/>
      <c r="Z51" s="79"/>
      <c r="AA51" s="82">
        <v>0</v>
      </c>
      <c r="AB51" s="82"/>
      <c r="AC51" s="82"/>
      <c r="AD51" s="23"/>
      <c r="AE51" s="7" t="s">
        <v>387</v>
      </c>
      <c r="AH51" s="23">
        <f>SUM('2020 detail'!J51:U51)+'2020 detail'!AA51+'2020 detail'!AB51</f>
        <v>31356.75</v>
      </c>
      <c r="AJ51" s="23">
        <f t="shared" si="9"/>
        <v>-6356.75</v>
      </c>
      <c r="AL51" t="str">
        <f t="shared" si="12"/>
        <v>Down</v>
      </c>
      <c r="AQ51" s="23">
        <v>3500</v>
      </c>
      <c r="AS51" t="s">
        <v>1113</v>
      </c>
    </row>
    <row r="52" spans="1:45" x14ac:dyDescent="0.2">
      <c r="A52" s="144" t="s">
        <v>50</v>
      </c>
      <c r="B52" s="9" t="s">
        <v>495</v>
      </c>
      <c r="C52" s="9" t="s">
        <v>495</v>
      </c>
      <c r="D52" s="9" t="s">
        <v>495</v>
      </c>
      <c r="E52" s="9"/>
      <c r="F52" s="9" t="s">
        <v>495</v>
      </c>
      <c r="G52" s="83">
        <v>4857</v>
      </c>
      <c r="H52" s="83">
        <f t="shared" si="10"/>
        <v>4857</v>
      </c>
      <c r="I52" s="133">
        <f t="shared" si="11"/>
        <v>1</v>
      </c>
      <c r="J52" s="82">
        <v>404.75</v>
      </c>
      <c r="K52" s="82">
        <v>404.75</v>
      </c>
      <c r="L52" s="82">
        <v>404.75</v>
      </c>
      <c r="M52" s="82">
        <v>404.75</v>
      </c>
      <c r="N52" s="82">
        <v>404.75</v>
      </c>
      <c r="O52" s="82">
        <v>404.75</v>
      </c>
      <c r="P52" s="82">
        <v>404.75</v>
      </c>
      <c r="Q52" s="82">
        <v>404.75</v>
      </c>
      <c r="R52" s="82">
        <v>404.75</v>
      </c>
      <c r="S52" s="23">
        <v>404.75</v>
      </c>
      <c r="T52" s="23">
        <v>404.75</v>
      </c>
      <c r="U52" s="23">
        <v>404.75</v>
      </c>
      <c r="V52" s="79" t="s">
        <v>529</v>
      </c>
      <c r="W52" s="82">
        <f t="shared" si="8"/>
        <v>0</v>
      </c>
      <c r="X52" s="79"/>
      <c r="Y52" s="79"/>
      <c r="Z52" s="79"/>
      <c r="AA52" s="82">
        <v>0</v>
      </c>
      <c r="AB52" s="82"/>
      <c r="AC52" s="82"/>
      <c r="AD52" s="23"/>
      <c r="AE52" s="7" t="s">
        <v>389</v>
      </c>
      <c r="AH52" s="23">
        <f>SUM('2020 detail'!J52:U52)+'2020 detail'!AA52+'2020 detail'!AB52</f>
        <v>4857</v>
      </c>
      <c r="AJ52" s="23">
        <f t="shared" si="9"/>
        <v>0</v>
      </c>
      <c r="AL52" t="str">
        <f t="shared" si="12"/>
        <v>Same</v>
      </c>
      <c r="AQ52" s="23">
        <v>404.75</v>
      </c>
    </row>
    <row r="53" spans="1:45" x14ac:dyDescent="0.2">
      <c r="A53" s="144" t="s">
        <v>51</v>
      </c>
      <c r="B53" s="9" t="s">
        <v>495</v>
      </c>
      <c r="C53" s="9" t="s">
        <v>495</v>
      </c>
      <c r="D53" s="9" t="s">
        <v>495</v>
      </c>
      <c r="E53" s="9"/>
      <c r="F53" s="9">
        <v>0</v>
      </c>
      <c r="G53" s="83">
        <v>4857</v>
      </c>
      <c r="H53" s="83">
        <f t="shared" si="10"/>
        <v>4856.9399999999996</v>
      </c>
      <c r="I53" s="133">
        <f t="shared" si="11"/>
        <v>1</v>
      </c>
      <c r="J53" s="82">
        <v>0</v>
      </c>
      <c r="K53" s="82"/>
      <c r="L53" s="82"/>
      <c r="M53" s="82"/>
      <c r="N53" s="82"/>
      <c r="O53" s="82"/>
      <c r="P53" s="82">
        <v>4856.9399999999996</v>
      </c>
      <c r="Q53" s="82"/>
      <c r="R53" s="82"/>
      <c r="S53" s="23"/>
      <c r="T53" s="23"/>
      <c r="U53" s="23"/>
      <c r="V53" s="79" t="s">
        <v>530</v>
      </c>
      <c r="W53" s="82">
        <f t="shared" si="8"/>
        <v>6.0000000000400178E-2</v>
      </c>
      <c r="X53" s="79"/>
      <c r="Y53" s="79"/>
      <c r="Z53" s="79"/>
      <c r="AA53" s="82">
        <v>0</v>
      </c>
      <c r="AB53" s="82"/>
      <c r="AC53" s="82"/>
      <c r="AD53" s="23"/>
      <c r="AE53" s="7" t="s">
        <v>389</v>
      </c>
      <c r="AH53" s="23">
        <f>SUM('2020 detail'!J53:U53)+'2020 detail'!AA53+'2020 detail'!AB53</f>
        <v>4857</v>
      </c>
      <c r="AJ53" s="23">
        <f t="shared" si="9"/>
        <v>-6.0000000000400178E-2</v>
      </c>
      <c r="AL53" t="str">
        <f t="shared" si="12"/>
        <v>Down</v>
      </c>
    </row>
    <row r="54" spans="1:45" x14ac:dyDescent="0.2">
      <c r="A54" s="144" t="s">
        <v>52</v>
      </c>
      <c r="B54" s="9" t="s">
        <v>495</v>
      </c>
      <c r="C54" s="9" t="s">
        <v>495</v>
      </c>
      <c r="D54" s="9">
        <v>0</v>
      </c>
      <c r="E54" s="9"/>
      <c r="F54" s="9">
        <v>0</v>
      </c>
      <c r="G54" s="83">
        <v>25764</v>
      </c>
      <c r="H54" s="83">
        <f t="shared" si="10"/>
        <v>25764</v>
      </c>
      <c r="I54" s="133">
        <f t="shared" si="11"/>
        <v>1</v>
      </c>
      <c r="J54" s="82">
        <v>0</v>
      </c>
      <c r="K54" s="82">
        <v>4290</v>
      </c>
      <c r="L54" s="82">
        <v>2000</v>
      </c>
      <c r="M54" s="82">
        <v>2298</v>
      </c>
      <c r="N54" s="82">
        <v>2147</v>
      </c>
      <c r="O54" s="82">
        <v>2147</v>
      </c>
      <c r="P54" s="82">
        <v>2147</v>
      </c>
      <c r="Q54" s="82">
        <v>2147</v>
      </c>
      <c r="R54" s="82">
        <v>2147</v>
      </c>
      <c r="S54" s="23">
        <v>2147</v>
      </c>
      <c r="T54" s="23">
        <v>2147</v>
      </c>
      <c r="U54" s="23">
        <v>2147</v>
      </c>
      <c r="V54" s="79" t="s">
        <v>531</v>
      </c>
      <c r="W54" s="82">
        <f t="shared" si="8"/>
        <v>0</v>
      </c>
      <c r="X54" s="79"/>
      <c r="Y54" s="79"/>
      <c r="Z54" s="79"/>
      <c r="AA54" s="82">
        <v>0</v>
      </c>
      <c r="AB54" s="82"/>
      <c r="AC54" s="82"/>
      <c r="AD54" s="23"/>
      <c r="AE54" s="7" t="s">
        <v>393</v>
      </c>
      <c r="AH54" s="23">
        <f>SUM('2020 detail'!J54:U54)+'2020 detail'!AA54+'2020 detail'!AB54</f>
        <v>25764</v>
      </c>
      <c r="AJ54" s="23">
        <f t="shared" si="9"/>
        <v>0</v>
      </c>
      <c r="AL54" t="str">
        <f t="shared" si="12"/>
        <v>Same</v>
      </c>
      <c r="AQ54" s="23">
        <v>2147</v>
      </c>
    </row>
    <row r="55" spans="1:45" x14ac:dyDescent="0.2">
      <c r="A55" s="144" t="s">
        <v>53</v>
      </c>
      <c r="B55" s="9" t="s">
        <v>495</v>
      </c>
      <c r="C55" s="9" t="s">
        <v>495</v>
      </c>
      <c r="D55" s="9" t="s">
        <v>495</v>
      </c>
      <c r="E55" s="9"/>
      <c r="F55" s="9">
        <v>0</v>
      </c>
      <c r="G55" s="83">
        <v>4461</v>
      </c>
      <c r="H55" s="83">
        <f t="shared" si="10"/>
        <v>4485.96</v>
      </c>
      <c r="I55" s="133">
        <f t="shared" si="11"/>
        <v>1.0056</v>
      </c>
      <c r="J55" s="82">
        <v>373.83</v>
      </c>
      <c r="K55" s="82">
        <v>373.83</v>
      </c>
      <c r="L55" s="82">
        <v>373.83</v>
      </c>
      <c r="M55" s="82">
        <v>373.83</v>
      </c>
      <c r="N55" s="82">
        <v>373.83</v>
      </c>
      <c r="O55" s="82">
        <v>373.83</v>
      </c>
      <c r="P55" s="82">
        <v>373.83</v>
      </c>
      <c r="Q55" s="82">
        <v>373.83</v>
      </c>
      <c r="R55" s="82">
        <v>373.83</v>
      </c>
      <c r="S55" s="23">
        <v>373.83</v>
      </c>
      <c r="T55" s="23">
        <v>373.83</v>
      </c>
      <c r="U55" s="23">
        <v>373.83</v>
      </c>
      <c r="V55" s="79" t="s">
        <v>532</v>
      </c>
      <c r="W55" s="82">
        <f t="shared" si="8"/>
        <v>-24.960000000000036</v>
      </c>
      <c r="X55" s="79"/>
      <c r="Y55" s="79"/>
      <c r="Z55" s="79"/>
      <c r="AA55" s="82">
        <v>0</v>
      </c>
      <c r="AB55" s="82"/>
      <c r="AC55" s="82"/>
      <c r="AD55" s="23"/>
      <c r="AE55" s="7" t="s">
        <v>393</v>
      </c>
      <c r="AH55" s="23">
        <f>SUM('2020 detail'!J55:U55)+'2020 detail'!AA55+'2020 detail'!AB55</f>
        <v>4463.0599999999995</v>
      </c>
      <c r="AJ55" s="23">
        <f t="shared" si="9"/>
        <v>22.900000000000546</v>
      </c>
      <c r="AL55" t="str">
        <f t="shared" si="12"/>
        <v>Up</v>
      </c>
      <c r="AQ55" s="23">
        <v>373.83</v>
      </c>
    </row>
    <row r="56" spans="1:45" x14ac:dyDescent="0.2">
      <c r="A56" s="144" t="s">
        <v>54</v>
      </c>
      <c r="B56" s="9" t="s">
        <v>495</v>
      </c>
      <c r="C56" s="9" t="s">
        <v>495</v>
      </c>
      <c r="D56" s="9">
        <v>0</v>
      </c>
      <c r="E56" s="9"/>
      <c r="F56" s="9" t="s">
        <v>495</v>
      </c>
      <c r="G56" s="83">
        <v>13020</v>
      </c>
      <c r="H56" s="83">
        <f t="shared" si="10"/>
        <v>7002.87</v>
      </c>
      <c r="I56" s="133">
        <f t="shared" si="11"/>
        <v>0.53790000000000004</v>
      </c>
      <c r="J56" s="82">
        <v>1087.8699999999999</v>
      </c>
      <c r="K56" s="82">
        <v>265</v>
      </c>
      <c r="L56" s="82">
        <v>265</v>
      </c>
      <c r="M56" s="82">
        <v>265</v>
      </c>
      <c r="N56" s="82">
        <v>265</v>
      </c>
      <c r="O56" s="82">
        <v>265</v>
      </c>
      <c r="P56" s="82">
        <v>265</v>
      </c>
      <c r="Q56" s="82">
        <v>265</v>
      </c>
      <c r="R56" s="82">
        <v>265</v>
      </c>
      <c r="S56" s="23">
        <v>265</v>
      </c>
      <c r="T56" s="23">
        <v>265</v>
      </c>
      <c r="U56" s="23">
        <v>3265</v>
      </c>
      <c r="V56" s="79" t="s">
        <v>533</v>
      </c>
      <c r="W56" s="82">
        <f t="shared" si="8"/>
        <v>6017.13</v>
      </c>
      <c r="X56" s="79"/>
      <c r="Y56" s="79"/>
      <c r="Z56" s="79"/>
      <c r="AA56" s="82">
        <v>0</v>
      </c>
      <c r="AB56" s="82"/>
      <c r="AC56" s="82"/>
      <c r="AD56" s="23"/>
      <c r="AE56" s="7" t="s">
        <v>386</v>
      </c>
      <c r="AH56" s="23">
        <f>SUM('2020 detail'!J56:U56)+'2020 detail'!AA56+'2020 detail'!AB56</f>
        <v>13019.999999999996</v>
      </c>
      <c r="AJ56" s="23">
        <f t="shared" si="9"/>
        <v>-6017.1299999999965</v>
      </c>
      <c r="AL56" t="str">
        <f t="shared" si="12"/>
        <v>Down</v>
      </c>
      <c r="AQ56" s="23">
        <v>3265</v>
      </c>
    </row>
    <row r="57" spans="1:45" x14ac:dyDescent="0.2">
      <c r="A57" s="144" t="s">
        <v>55</v>
      </c>
      <c r="B57" s="9" t="s">
        <v>495</v>
      </c>
      <c r="C57" s="9" t="s">
        <v>495</v>
      </c>
      <c r="D57" s="9">
        <v>0</v>
      </c>
      <c r="E57" s="9"/>
      <c r="F57" s="9">
        <v>0</v>
      </c>
      <c r="G57" s="83">
        <v>11417</v>
      </c>
      <c r="H57" s="83">
        <f t="shared" si="10"/>
        <v>8586</v>
      </c>
      <c r="I57" s="133">
        <f t="shared" si="11"/>
        <v>0.752</v>
      </c>
      <c r="J57" s="82">
        <v>477</v>
      </c>
      <c r="K57" s="82">
        <v>477</v>
      </c>
      <c r="L57" s="82">
        <v>477</v>
      </c>
      <c r="M57" s="82">
        <v>477</v>
      </c>
      <c r="N57" s="82">
        <v>477</v>
      </c>
      <c r="O57" s="82">
        <v>477</v>
      </c>
      <c r="P57" s="82">
        <v>477</v>
      </c>
      <c r="Q57" s="82">
        <v>477</v>
      </c>
      <c r="R57" s="82">
        <v>477</v>
      </c>
      <c r="S57" s="23">
        <v>477</v>
      </c>
      <c r="T57" s="23">
        <v>477</v>
      </c>
      <c r="U57" s="23">
        <v>3339</v>
      </c>
      <c r="V57" s="79" t="s">
        <v>534</v>
      </c>
      <c r="W57" s="82">
        <f t="shared" si="8"/>
        <v>2831</v>
      </c>
      <c r="X57" s="79"/>
      <c r="Y57" s="79"/>
      <c r="Z57" s="79"/>
      <c r="AA57" s="82">
        <v>0</v>
      </c>
      <c r="AB57" s="82"/>
      <c r="AC57" s="82"/>
      <c r="AD57" s="23"/>
      <c r="AE57" s="7" t="s">
        <v>386</v>
      </c>
      <c r="AH57" s="23">
        <f>SUM('2020 detail'!J57:U57)+'2020 detail'!AA57+'2020 detail'!AB57</f>
        <v>11417.000000000002</v>
      </c>
      <c r="AJ57" s="23">
        <f t="shared" si="9"/>
        <v>-2831.0000000000018</v>
      </c>
      <c r="AL57" t="str">
        <f t="shared" si="12"/>
        <v>Down</v>
      </c>
      <c r="AQ57" s="23">
        <v>3339</v>
      </c>
    </row>
    <row r="58" spans="1:45" x14ac:dyDescent="0.2">
      <c r="A58" s="144" t="s">
        <v>56</v>
      </c>
      <c r="B58" s="9" t="s">
        <v>495</v>
      </c>
      <c r="C58" s="9" t="s">
        <v>495</v>
      </c>
      <c r="D58" s="9">
        <v>0</v>
      </c>
      <c r="E58" s="9"/>
      <c r="F58" s="9" t="s">
        <v>495</v>
      </c>
      <c r="G58" s="83">
        <v>7344</v>
      </c>
      <c r="H58" s="83">
        <f t="shared" si="10"/>
        <v>1560</v>
      </c>
      <c r="I58" s="133">
        <f t="shared" si="11"/>
        <v>0.21240000000000001</v>
      </c>
      <c r="J58" s="82">
        <v>130</v>
      </c>
      <c r="K58" s="82">
        <v>130</v>
      </c>
      <c r="L58" s="82">
        <v>130</v>
      </c>
      <c r="M58" s="82">
        <v>130</v>
      </c>
      <c r="N58" s="82">
        <v>130</v>
      </c>
      <c r="O58" s="82">
        <v>130</v>
      </c>
      <c r="P58" s="82">
        <v>130</v>
      </c>
      <c r="Q58" s="82">
        <v>130</v>
      </c>
      <c r="R58" s="82">
        <v>130</v>
      </c>
      <c r="S58" s="23">
        <v>130</v>
      </c>
      <c r="T58" s="23">
        <v>130</v>
      </c>
      <c r="U58" s="23">
        <v>130</v>
      </c>
      <c r="V58" s="79" t="s">
        <v>535</v>
      </c>
      <c r="W58" s="82">
        <f t="shared" si="8"/>
        <v>5784</v>
      </c>
      <c r="X58" s="79"/>
      <c r="Y58" s="79"/>
      <c r="Z58" s="79"/>
      <c r="AA58" s="82">
        <v>0</v>
      </c>
      <c r="AB58" s="82"/>
      <c r="AC58" s="82"/>
      <c r="AD58" s="23"/>
      <c r="AE58" s="7" t="s">
        <v>386</v>
      </c>
      <c r="AH58" s="23">
        <f>SUM('2020 detail'!J58:U58)+'2020 detail'!AA58+'2020 detail'!AB58</f>
        <v>1560</v>
      </c>
      <c r="AJ58" s="23">
        <f t="shared" si="9"/>
        <v>0</v>
      </c>
      <c r="AL58" t="str">
        <f t="shared" si="12"/>
        <v>Same</v>
      </c>
      <c r="AQ58" s="23">
        <v>130</v>
      </c>
    </row>
    <row r="59" spans="1:45" x14ac:dyDescent="0.2">
      <c r="A59" s="144" t="s">
        <v>57</v>
      </c>
      <c r="B59" s="9" t="s">
        <v>495</v>
      </c>
      <c r="C59" s="9" t="s">
        <v>495</v>
      </c>
      <c r="D59" s="9" t="s">
        <v>495</v>
      </c>
      <c r="E59" s="9"/>
      <c r="F59" s="9" t="s">
        <v>495</v>
      </c>
      <c r="G59" s="83">
        <v>61316</v>
      </c>
      <c r="H59" s="83">
        <f t="shared" si="10"/>
        <v>30832.560000000009</v>
      </c>
      <c r="I59" s="133">
        <f t="shared" si="11"/>
        <v>0.50280000000000002</v>
      </c>
      <c r="J59" s="82">
        <v>2569.38</v>
      </c>
      <c r="K59" s="82">
        <v>2569.38</v>
      </c>
      <c r="L59" s="82">
        <v>2569.38</v>
      </c>
      <c r="M59" s="82">
        <v>2569.38</v>
      </c>
      <c r="N59" s="82">
        <v>2569.38</v>
      </c>
      <c r="O59" s="82">
        <v>2569.38</v>
      </c>
      <c r="P59" s="82">
        <v>2569.38</v>
      </c>
      <c r="Q59" s="82">
        <v>2569.38</v>
      </c>
      <c r="R59" s="82">
        <v>2569.38</v>
      </c>
      <c r="S59" s="23">
        <v>2569.38</v>
      </c>
      <c r="T59" s="23">
        <v>2569.38</v>
      </c>
      <c r="U59" s="23">
        <v>2569.38</v>
      </c>
      <c r="V59" s="79" t="s">
        <v>536</v>
      </c>
      <c r="W59" s="82">
        <f t="shared" si="8"/>
        <v>30483.439999999991</v>
      </c>
      <c r="X59" s="79"/>
      <c r="Y59" s="79"/>
      <c r="Z59" s="79"/>
      <c r="AA59" s="82">
        <v>0</v>
      </c>
      <c r="AB59" s="82"/>
      <c r="AC59" s="82"/>
      <c r="AD59" s="23"/>
      <c r="AE59" s="7" t="s">
        <v>388</v>
      </c>
      <c r="AH59" s="23">
        <f>SUM('2020 detail'!J59:U59)+'2020 detail'!AA59+'2020 detail'!AB59</f>
        <v>30658.000000000007</v>
      </c>
      <c r="AJ59" s="23">
        <f t="shared" si="9"/>
        <v>174.56000000000131</v>
      </c>
      <c r="AL59" t="str">
        <f t="shared" si="12"/>
        <v>Up</v>
      </c>
      <c r="AQ59" s="23">
        <v>2569.38</v>
      </c>
    </row>
    <row r="60" spans="1:45" x14ac:dyDescent="0.2">
      <c r="A60" s="144" t="s">
        <v>58</v>
      </c>
      <c r="B60" s="9" t="s">
        <v>495</v>
      </c>
      <c r="C60" s="9" t="s">
        <v>495</v>
      </c>
      <c r="D60" s="9">
        <v>0</v>
      </c>
      <c r="E60" s="9"/>
      <c r="F60" s="9">
        <v>0</v>
      </c>
      <c r="G60" s="83">
        <v>12412</v>
      </c>
      <c r="H60" s="83">
        <f t="shared" si="10"/>
        <v>12412.200000000003</v>
      </c>
      <c r="I60" s="133">
        <f t="shared" si="11"/>
        <v>1</v>
      </c>
      <c r="J60" s="82">
        <v>1034.3499999999999</v>
      </c>
      <c r="K60" s="82"/>
      <c r="L60" s="82">
        <v>2068.6999999999998</v>
      </c>
      <c r="M60" s="82">
        <v>1034.3499999999999</v>
      </c>
      <c r="N60" s="82">
        <v>1034.3499999999999</v>
      </c>
      <c r="O60" s="82">
        <v>1034.3499999999999</v>
      </c>
      <c r="P60" s="82">
        <v>1034.3499999999999</v>
      </c>
      <c r="Q60" s="82">
        <v>1034.3499999999999</v>
      </c>
      <c r="R60" s="82">
        <v>1034.3499999999999</v>
      </c>
      <c r="S60" s="23">
        <v>1034.3499999999999</v>
      </c>
      <c r="T60" s="23">
        <v>1034.3499999999999</v>
      </c>
      <c r="U60" s="23">
        <v>1034.3499999999999</v>
      </c>
      <c r="V60" s="79" t="s">
        <v>537</v>
      </c>
      <c r="W60" s="82">
        <f t="shared" si="8"/>
        <v>-0.20000000000254659</v>
      </c>
      <c r="X60" s="79"/>
      <c r="Y60" s="79"/>
      <c r="Z60" s="79"/>
      <c r="AA60" s="82">
        <v>0</v>
      </c>
      <c r="AB60" s="82"/>
      <c r="AC60" s="82"/>
      <c r="AD60" s="23"/>
      <c r="AE60" s="7" t="s">
        <v>389</v>
      </c>
      <c r="AH60" s="23">
        <f>SUM('2020 detail'!J60:U60)+'2020 detail'!AA60+'2020 detail'!AB60</f>
        <v>12412.200000000003</v>
      </c>
      <c r="AJ60" s="23">
        <f t="shared" si="9"/>
        <v>0</v>
      </c>
      <c r="AL60" t="str">
        <f t="shared" si="12"/>
        <v>Same</v>
      </c>
      <c r="AQ60" s="23">
        <v>1034.3499999999999</v>
      </c>
    </row>
    <row r="61" spans="1:45" x14ac:dyDescent="0.2">
      <c r="A61" s="144" t="s">
        <v>59</v>
      </c>
      <c r="B61" s="9">
        <v>0</v>
      </c>
      <c r="C61" s="9" t="s">
        <v>495</v>
      </c>
      <c r="D61" s="9">
        <v>0</v>
      </c>
      <c r="E61" s="9"/>
      <c r="F61" s="9">
        <v>0</v>
      </c>
      <c r="G61" s="83">
        <v>4856</v>
      </c>
      <c r="H61" s="83">
        <f t="shared" si="10"/>
        <v>4856.9400000000005</v>
      </c>
      <c r="I61" s="133">
        <f t="shared" si="11"/>
        <v>1.0002</v>
      </c>
      <c r="J61" s="82">
        <v>0</v>
      </c>
      <c r="K61" s="82"/>
      <c r="L61" s="82"/>
      <c r="M61" s="82"/>
      <c r="N61" s="82"/>
      <c r="O61" s="82">
        <v>2500</v>
      </c>
      <c r="P61" s="82"/>
      <c r="Q61" s="82"/>
      <c r="R61" s="82"/>
      <c r="S61" s="23"/>
      <c r="T61" s="23"/>
      <c r="U61" s="23">
        <v>2356.94</v>
      </c>
      <c r="V61" s="79" t="s">
        <v>538</v>
      </c>
      <c r="W61" s="82">
        <f t="shared" si="8"/>
        <v>-0.94000000000050932</v>
      </c>
      <c r="X61" s="79"/>
      <c r="Y61" s="79"/>
      <c r="Z61" s="79"/>
      <c r="AA61" s="82">
        <v>0</v>
      </c>
      <c r="AB61" s="82"/>
      <c r="AC61" s="82"/>
      <c r="AD61" s="23"/>
      <c r="AE61" s="7" t="s">
        <v>389</v>
      </c>
      <c r="AH61" s="23">
        <f>SUM('2020 detail'!J61:U61)+'2020 detail'!AA61+'2020 detail'!AB61</f>
        <v>4856.9400000000005</v>
      </c>
      <c r="AJ61" s="23">
        <f t="shared" si="9"/>
        <v>0</v>
      </c>
      <c r="AL61" t="str">
        <f t="shared" si="12"/>
        <v>Same</v>
      </c>
      <c r="AQ61" s="23">
        <v>2356.94</v>
      </c>
    </row>
    <row r="62" spans="1:45" x14ac:dyDescent="0.2">
      <c r="A62" s="144" t="s">
        <v>60</v>
      </c>
      <c r="B62" s="9" t="s">
        <v>495</v>
      </c>
      <c r="C62" s="9" t="s">
        <v>495</v>
      </c>
      <c r="D62" s="9" t="s">
        <v>495</v>
      </c>
      <c r="E62" s="9"/>
      <c r="F62" s="9">
        <v>0</v>
      </c>
      <c r="G62" s="83">
        <v>41514</v>
      </c>
      <c r="H62" s="83">
        <f t="shared" si="10"/>
        <v>25000</v>
      </c>
      <c r="I62" s="133">
        <f t="shared" si="11"/>
        <v>0.60219999999999996</v>
      </c>
      <c r="J62" s="82">
        <v>0</v>
      </c>
      <c r="K62" s="82"/>
      <c r="L62" s="82"/>
      <c r="M62" s="82">
        <v>4000</v>
      </c>
      <c r="N62" s="82">
        <v>5000</v>
      </c>
      <c r="O62" s="82"/>
      <c r="P62" s="82"/>
      <c r="Q62" s="82">
        <v>8000</v>
      </c>
      <c r="R62" s="82"/>
      <c r="S62" s="23">
        <v>2000</v>
      </c>
      <c r="T62" s="23">
        <v>4000</v>
      </c>
      <c r="U62" s="23">
        <v>2000</v>
      </c>
      <c r="V62" s="79" t="s">
        <v>539</v>
      </c>
      <c r="W62" s="82">
        <f t="shared" si="8"/>
        <v>16514</v>
      </c>
      <c r="X62" s="79"/>
      <c r="Y62" s="79"/>
      <c r="Z62" s="79"/>
      <c r="AA62" s="82">
        <v>0</v>
      </c>
      <c r="AB62" s="82"/>
      <c r="AC62" s="82"/>
      <c r="AD62" s="23"/>
      <c r="AE62" s="7" t="s">
        <v>390</v>
      </c>
      <c r="AH62" s="23">
        <f>SUM('2020 detail'!J62:U62)+'2020 detail'!AA62+'2020 detail'!AB62</f>
        <v>29404.66</v>
      </c>
      <c r="AJ62" s="23">
        <f t="shared" si="9"/>
        <v>-4404.66</v>
      </c>
      <c r="AL62" t="str">
        <f t="shared" si="12"/>
        <v>Down</v>
      </c>
      <c r="AQ62" s="23">
        <v>2000</v>
      </c>
    </row>
    <row r="63" spans="1:45" x14ac:dyDescent="0.2">
      <c r="A63" s="144" t="s">
        <v>61</v>
      </c>
      <c r="B63" s="9" t="s">
        <v>495</v>
      </c>
      <c r="C63" s="9" t="s">
        <v>495</v>
      </c>
      <c r="D63" s="9">
        <v>0</v>
      </c>
      <c r="E63" s="9"/>
      <c r="F63" s="9">
        <v>0</v>
      </c>
      <c r="G63" s="83">
        <v>12667</v>
      </c>
      <c r="H63" s="83">
        <f t="shared" si="10"/>
        <v>3800</v>
      </c>
      <c r="I63" s="133">
        <f t="shared" si="11"/>
        <v>0.3</v>
      </c>
      <c r="J63" s="82">
        <v>0</v>
      </c>
      <c r="K63" s="82"/>
      <c r="L63" s="82"/>
      <c r="M63" s="82"/>
      <c r="N63" s="82"/>
      <c r="O63" s="82">
        <v>1500</v>
      </c>
      <c r="P63" s="82"/>
      <c r="Q63" s="82"/>
      <c r="R63" s="82"/>
      <c r="S63" s="23"/>
      <c r="T63" s="23">
        <v>2300</v>
      </c>
      <c r="U63" s="23"/>
      <c r="V63" s="79" t="s">
        <v>540</v>
      </c>
      <c r="W63" s="82">
        <f t="shared" si="8"/>
        <v>8867</v>
      </c>
      <c r="X63" s="79"/>
      <c r="Y63" s="79"/>
      <c r="Z63" s="79"/>
      <c r="AA63" s="82">
        <v>0</v>
      </c>
      <c r="AB63" s="82"/>
      <c r="AC63" s="82"/>
      <c r="AD63" s="23"/>
      <c r="AE63" s="7" t="s">
        <v>390</v>
      </c>
      <c r="AH63" s="23">
        <f>SUM('2020 detail'!J63:U63)+'2020 detail'!AA63+'2020 detail'!AB63</f>
        <v>2452.33</v>
      </c>
      <c r="AJ63" s="23">
        <f t="shared" si="9"/>
        <v>1347.67</v>
      </c>
      <c r="AL63" t="str">
        <f t="shared" si="12"/>
        <v>Up</v>
      </c>
    </row>
    <row r="64" spans="1:45" x14ac:dyDescent="0.2">
      <c r="A64" s="144" t="s">
        <v>62</v>
      </c>
      <c r="B64" s="9" t="s">
        <v>495</v>
      </c>
      <c r="C64" s="9" t="s">
        <v>495</v>
      </c>
      <c r="D64" s="9">
        <v>0</v>
      </c>
      <c r="E64" s="9"/>
      <c r="F64" s="9">
        <v>0</v>
      </c>
      <c r="G64" s="83">
        <v>29013</v>
      </c>
      <c r="H64" s="83">
        <f t="shared" si="10"/>
        <v>20500</v>
      </c>
      <c r="I64" s="133">
        <f t="shared" si="11"/>
        <v>0.70660000000000001</v>
      </c>
      <c r="J64" s="82">
        <v>0</v>
      </c>
      <c r="K64" s="82"/>
      <c r="L64" s="82">
        <v>2000</v>
      </c>
      <c r="M64" s="82"/>
      <c r="N64" s="82">
        <v>2000</v>
      </c>
      <c r="O64" s="82">
        <v>3000</v>
      </c>
      <c r="P64" s="82"/>
      <c r="Q64" s="82">
        <v>4000</v>
      </c>
      <c r="R64" s="82"/>
      <c r="S64" s="23"/>
      <c r="T64" s="23">
        <v>4000</v>
      </c>
      <c r="U64" s="23">
        <v>5500</v>
      </c>
      <c r="V64" s="79" t="s">
        <v>541</v>
      </c>
      <c r="W64" s="82">
        <f t="shared" si="8"/>
        <v>8513</v>
      </c>
      <c r="X64" s="79"/>
      <c r="Y64" s="79"/>
      <c r="Z64" s="79"/>
      <c r="AA64" s="82">
        <v>0</v>
      </c>
      <c r="AB64" s="82"/>
      <c r="AC64" s="82"/>
      <c r="AD64" s="23"/>
      <c r="AE64" s="7" t="s">
        <v>391</v>
      </c>
      <c r="AH64" s="23">
        <f>SUM('2020 detail'!J64:U64)+'2020 detail'!AA64+'2020 detail'!AB64</f>
        <v>20310</v>
      </c>
      <c r="AJ64" s="23">
        <f t="shared" si="9"/>
        <v>190</v>
      </c>
      <c r="AL64" t="str">
        <f t="shared" si="12"/>
        <v>Up</v>
      </c>
      <c r="AQ64" s="23">
        <v>5500</v>
      </c>
    </row>
    <row r="65" spans="1:43" x14ac:dyDescent="0.2">
      <c r="A65" s="144" t="s">
        <v>63</v>
      </c>
      <c r="B65" s="9" t="s">
        <v>495</v>
      </c>
      <c r="C65" s="9" t="s">
        <v>495</v>
      </c>
      <c r="D65" s="9" t="s">
        <v>495</v>
      </c>
      <c r="E65" s="9"/>
      <c r="F65" s="9">
        <v>0</v>
      </c>
      <c r="G65" s="83">
        <v>9094</v>
      </c>
      <c r="H65" s="83">
        <f t="shared" si="10"/>
        <v>6360</v>
      </c>
      <c r="I65" s="133">
        <f t="shared" si="11"/>
        <v>0.69940000000000002</v>
      </c>
      <c r="J65" s="82">
        <v>390</v>
      </c>
      <c r="K65" s="82">
        <v>390</v>
      </c>
      <c r="L65" s="82">
        <v>390</v>
      </c>
      <c r="M65" s="82">
        <v>390</v>
      </c>
      <c r="N65" s="82">
        <v>390</v>
      </c>
      <c r="O65" s="82">
        <v>390</v>
      </c>
      <c r="P65" s="82">
        <v>390</v>
      </c>
      <c r="Q65" s="82">
        <v>390</v>
      </c>
      <c r="R65" s="82">
        <v>390</v>
      </c>
      <c r="S65" s="23">
        <v>390</v>
      </c>
      <c r="T65" s="23">
        <v>390</v>
      </c>
      <c r="U65" s="23">
        <v>2070</v>
      </c>
      <c r="V65" s="79" t="s">
        <v>542</v>
      </c>
      <c r="W65" s="82">
        <f t="shared" si="8"/>
        <v>2734</v>
      </c>
      <c r="X65" s="79"/>
      <c r="Y65" s="79"/>
      <c r="Z65" s="79"/>
      <c r="AA65" s="82">
        <v>0</v>
      </c>
      <c r="AB65" s="82"/>
      <c r="AC65" s="82"/>
      <c r="AD65" s="23"/>
      <c r="AE65" s="7" t="s">
        <v>391</v>
      </c>
      <c r="AH65" s="23">
        <f>SUM('2020 detail'!J65:U65)+'2020 detail'!AA65+'2020 detail'!AB65</f>
        <v>5638</v>
      </c>
      <c r="AJ65" s="23">
        <f t="shared" si="9"/>
        <v>722</v>
      </c>
      <c r="AL65" t="str">
        <f t="shared" si="12"/>
        <v>Up</v>
      </c>
      <c r="AQ65" s="23">
        <v>2070</v>
      </c>
    </row>
    <row r="66" spans="1:43" x14ac:dyDescent="0.2">
      <c r="A66" s="144" t="s">
        <v>64</v>
      </c>
      <c r="B66" s="9" t="s">
        <v>495</v>
      </c>
      <c r="C66" s="9" t="s">
        <v>495</v>
      </c>
      <c r="D66" s="9">
        <v>0</v>
      </c>
      <c r="E66" s="9"/>
      <c r="F66" s="9">
        <v>0</v>
      </c>
      <c r="G66" s="83">
        <v>19836</v>
      </c>
      <c r="H66" s="83">
        <f t="shared" si="10"/>
        <v>19835</v>
      </c>
      <c r="I66" s="133">
        <f t="shared" si="11"/>
        <v>0.99990000000000001</v>
      </c>
      <c r="J66" s="82">
        <v>1525</v>
      </c>
      <c r="K66" s="82">
        <v>525</v>
      </c>
      <c r="L66" s="82">
        <v>1525</v>
      </c>
      <c r="M66" s="82">
        <v>1525</v>
      </c>
      <c r="N66" s="82">
        <v>1525</v>
      </c>
      <c r="O66" s="82">
        <v>525</v>
      </c>
      <c r="P66" s="82">
        <v>2025</v>
      </c>
      <c r="Q66" s="82">
        <v>2525</v>
      </c>
      <c r="R66" s="82">
        <v>1525</v>
      </c>
      <c r="S66" s="23">
        <v>2525</v>
      </c>
      <c r="T66" s="23">
        <v>2025</v>
      </c>
      <c r="U66" s="23">
        <v>2060</v>
      </c>
      <c r="V66" s="79" t="s">
        <v>543</v>
      </c>
      <c r="W66" s="82">
        <f t="shared" si="8"/>
        <v>1</v>
      </c>
      <c r="X66" s="79"/>
      <c r="Y66" s="79"/>
      <c r="Z66" s="79"/>
      <c r="AA66" s="82">
        <v>0</v>
      </c>
      <c r="AB66" s="82"/>
      <c r="AC66" s="82"/>
      <c r="AD66" s="23"/>
      <c r="AE66" s="7" t="s">
        <v>391</v>
      </c>
      <c r="AH66" s="23">
        <f>SUM('2020 detail'!J66:U66)+'2020 detail'!AA66+'2020 detail'!AB66</f>
        <v>8000</v>
      </c>
      <c r="AJ66" s="23">
        <f t="shared" si="9"/>
        <v>11835</v>
      </c>
      <c r="AL66" t="str">
        <f t="shared" si="12"/>
        <v>Up</v>
      </c>
      <c r="AQ66" s="23">
        <v>2060</v>
      </c>
    </row>
    <row r="67" spans="1:43" x14ac:dyDescent="0.2">
      <c r="A67" s="144" t="s">
        <v>65</v>
      </c>
      <c r="B67" s="9" t="s">
        <v>495</v>
      </c>
      <c r="C67" s="9" t="s">
        <v>495</v>
      </c>
      <c r="D67" s="9" t="s">
        <v>495</v>
      </c>
      <c r="E67" s="9"/>
      <c r="F67" s="9" t="s">
        <v>495</v>
      </c>
      <c r="G67" s="83">
        <v>26899</v>
      </c>
      <c r="H67" s="83">
        <f t="shared" si="10"/>
        <v>20757</v>
      </c>
      <c r="I67" s="133">
        <f t="shared" si="11"/>
        <v>0.77170000000000005</v>
      </c>
      <c r="J67" s="82">
        <v>2244</v>
      </c>
      <c r="K67" s="82">
        <v>1683</v>
      </c>
      <c r="L67" s="82">
        <v>1683</v>
      </c>
      <c r="M67" s="82">
        <v>1683</v>
      </c>
      <c r="N67" s="82">
        <v>1683</v>
      </c>
      <c r="O67" s="82">
        <v>1683</v>
      </c>
      <c r="P67" s="82">
        <v>1683</v>
      </c>
      <c r="Q67" s="82">
        <v>1683</v>
      </c>
      <c r="R67" s="82">
        <v>1683</v>
      </c>
      <c r="S67" s="23">
        <v>1683</v>
      </c>
      <c r="T67" s="23">
        <v>1683</v>
      </c>
      <c r="U67" s="23">
        <v>1683</v>
      </c>
      <c r="V67" s="79" t="s">
        <v>544</v>
      </c>
      <c r="W67" s="82">
        <f t="shared" si="8"/>
        <v>6142</v>
      </c>
      <c r="X67" s="79"/>
      <c r="Y67" s="79"/>
      <c r="Z67" s="79"/>
      <c r="AA67" s="82">
        <v>0</v>
      </c>
      <c r="AB67" s="82"/>
      <c r="AC67" s="82"/>
      <c r="AD67" s="23"/>
      <c r="AE67" s="7" t="s">
        <v>392</v>
      </c>
      <c r="AH67" s="23">
        <f>SUM('2020 detail'!J67:U67)+'2020 detail'!AA67+'2020 detail'!AB67</f>
        <v>26899</v>
      </c>
      <c r="AJ67" s="23">
        <f t="shared" si="9"/>
        <v>-6142</v>
      </c>
      <c r="AL67" t="str">
        <f t="shared" si="12"/>
        <v>Down</v>
      </c>
      <c r="AQ67" s="23">
        <v>1683</v>
      </c>
    </row>
    <row r="68" spans="1:43" x14ac:dyDescent="0.2">
      <c r="A68" s="144" t="s">
        <v>66</v>
      </c>
      <c r="B68" s="9" t="s">
        <v>495</v>
      </c>
      <c r="C68" s="9" t="s">
        <v>495</v>
      </c>
      <c r="D68" s="9" t="s">
        <v>495</v>
      </c>
      <c r="E68" s="9"/>
      <c r="F68" s="9" t="s">
        <v>495</v>
      </c>
      <c r="G68" s="83">
        <v>8602</v>
      </c>
      <c r="H68" s="83">
        <f t="shared" si="10"/>
        <v>8602</v>
      </c>
      <c r="I68" s="133">
        <f t="shared" si="11"/>
        <v>1</v>
      </c>
      <c r="J68" s="82">
        <v>717.6</v>
      </c>
      <c r="K68" s="82">
        <v>716.8</v>
      </c>
      <c r="L68" s="82">
        <v>716.76</v>
      </c>
      <c r="M68" s="82">
        <v>500</v>
      </c>
      <c r="N68" s="82">
        <v>500</v>
      </c>
      <c r="O68" s="82">
        <v>500</v>
      </c>
      <c r="P68" s="82">
        <v>500</v>
      </c>
      <c r="Q68" s="82">
        <v>500</v>
      </c>
      <c r="R68" s="82">
        <v>500</v>
      </c>
      <c r="S68" s="23">
        <v>500</v>
      </c>
      <c r="T68" s="23">
        <v>500</v>
      </c>
      <c r="U68" s="23">
        <v>500</v>
      </c>
      <c r="V68" s="79" t="s">
        <v>545</v>
      </c>
      <c r="W68" s="82">
        <f t="shared" si="8"/>
        <v>0</v>
      </c>
      <c r="X68" s="79"/>
      <c r="Y68" s="79"/>
      <c r="Z68" s="79"/>
      <c r="AA68" s="82">
        <v>1950.84</v>
      </c>
      <c r="AB68" s="82"/>
      <c r="AC68" s="82"/>
      <c r="AD68" s="23"/>
      <c r="AE68" s="7" t="s">
        <v>392</v>
      </c>
      <c r="AH68" s="23">
        <f>SUM('2020 detail'!J68:U68)+'2020 detail'!AA68+'2020 detail'!AB68</f>
        <v>8602.0000000000018</v>
      </c>
      <c r="AJ68" s="23">
        <f t="shared" si="9"/>
        <v>0</v>
      </c>
      <c r="AL68" t="str">
        <f t="shared" si="12"/>
        <v>Same</v>
      </c>
      <c r="AQ68" s="23">
        <v>500</v>
      </c>
    </row>
    <row r="69" spans="1:43" x14ac:dyDescent="0.2">
      <c r="A69" s="144" t="s">
        <v>67</v>
      </c>
      <c r="B69" s="9" t="s">
        <v>495</v>
      </c>
      <c r="C69" s="9" t="s">
        <v>495</v>
      </c>
      <c r="D69" s="9" t="s">
        <v>495</v>
      </c>
      <c r="E69" s="9"/>
      <c r="F69" s="9" t="s">
        <v>495</v>
      </c>
      <c r="G69" s="83">
        <v>4369</v>
      </c>
      <c r="H69" s="83">
        <f t="shared" si="10"/>
        <v>4369</v>
      </c>
      <c r="I69" s="133">
        <f t="shared" si="11"/>
        <v>1</v>
      </c>
      <c r="J69" s="82">
        <v>364.47</v>
      </c>
      <c r="K69" s="82">
        <v>364.13</v>
      </c>
      <c r="L69" s="82">
        <v>364.04</v>
      </c>
      <c r="M69" s="82">
        <v>364.04</v>
      </c>
      <c r="N69" s="82">
        <v>364.04</v>
      </c>
      <c r="O69" s="82">
        <v>364.04</v>
      </c>
      <c r="P69" s="82">
        <v>364.04</v>
      </c>
      <c r="Q69" s="82">
        <v>364.04</v>
      </c>
      <c r="R69" s="82">
        <v>364.04</v>
      </c>
      <c r="S69" s="23">
        <v>364.04</v>
      </c>
      <c r="T69" s="23">
        <v>364.04</v>
      </c>
      <c r="U69" s="23">
        <v>364.04</v>
      </c>
      <c r="V69" s="79" t="s">
        <v>546</v>
      </c>
      <c r="W69" s="82">
        <f t="shared" si="8"/>
        <v>0</v>
      </c>
      <c r="X69" s="79"/>
      <c r="Y69" s="79"/>
      <c r="Z69" s="79"/>
      <c r="AA69" s="82">
        <v>0</v>
      </c>
      <c r="AB69" s="82"/>
      <c r="AC69" s="82"/>
      <c r="AD69" s="23"/>
      <c r="AE69" s="7" t="s">
        <v>392</v>
      </c>
      <c r="AH69" s="23">
        <f>SUM('2020 detail'!J69:U69)+'2020 detail'!AA69+'2020 detail'!AB69</f>
        <v>4369.0000000000018</v>
      </c>
      <c r="AJ69" s="23">
        <f t="shared" si="9"/>
        <v>0</v>
      </c>
      <c r="AL69" t="str">
        <f t="shared" si="12"/>
        <v>Same</v>
      </c>
      <c r="AQ69" s="23">
        <v>364.04</v>
      </c>
    </row>
    <row r="70" spans="1:43" x14ac:dyDescent="0.2">
      <c r="A70" s="144" t="s">
        <v>68</v>
      </c>
      <c r="B70" s="9" t="s">
        <v>495</v>
      </c>
      <c r="C70" s="9" t="s">
        <v>495</v>
      </c>
      <c r="D70" s="9" t="s">
        <v>495</v>
      </c>
      <c r="E70" s="9"/>
      <c r="F70" s="9" t="s">
        <v>495</v>
      </c>
      <c r="G70" s="83">
        <v>9731</v>
      </c>
      <c r="H70" s="83">
        <f t="shared" si="10"/>
        <v>9731.0000000000018</v>
      </c>
      <c r="I70" s="133">
        <f t="shared" si="11"/>
        <v>1</v>
      </c>
      <c r="J70" s="82">
        <v>973.1</v>
      </c>
      <c r="K70" s="82">
        <v>973.1</v>
      </c>
      <c r="L70" s="82">
        <v>973.1</v>
      </c>
      <c r="M70" s="82">
        <v>973.1</v>
      </c>
      <c r="N70" s="82">
        <v>973.1</v>
      </c>
      <c r="O70" s="82">
        <v>973.1</v>
      </c>
      <c r="P70" s="82">
        <v>973.1</v>
      </c>
      <c r="Q70" s="82">
        <v>973.1</v>
      </c>
      <c r="R70" s="82">
        <v>973.1</v>
      </c>
      <c r="S70" s="23">
        <v>973.1</v>
      </c>
      <c r="T70" s="23">
        <v>0</v>
      </c>
      <c r="U70" s="23">
        <v>0</v>
      </c>
      <c r="V70" s="79" t="s">
        <v>547</v>
      </c>
      <c r="W70" s="82">
        <f t="shared" si="8"/>
        <v>0</v>
      </c>
      <c r="X70" s="79"/>
      <c r="Y70" s="79"/>
      <c r="Z70" s="79"/>
      <c r="AA70" s="82">
        <v>0</v>
      </c>
      <c r="AB70" s="82"/>
      <c r="AC70" s="82"/>
      <c r="AD70" s="23"/>
      <c r="AE70" s="7" t="s">
        <v>387</v>
      </c>
      <c r="AH70" s="23">
        <f>SUM('2020 detail'!J70:U70)+'2020 detail'!AA70+'2020 detail'!AB70</f>
        <v>9731.0000000000018</v>
      </c>
      <c r="AJ70" s="23">
        <f t="shared" si="9"/>
        <v>0</v>
      </c>
      <c r="AL70" t="str">
        <f t="shared" si="12"/>
        <v>Same</v>
      </c>
      <c r="AQ70" s="23">
        <v>0</v>
      </c>
    </row>
    <row r="71" spans="1:43" x14ac:dyDescent="0.2">
      <c r="A71" s="144" t="s">
        <v>69</v>
      </c>
      <c r="B71" s="9" t="s">
        <v>495</v>
      </c>
      <c r="C71" s="9" t="s">
        <v>495</v>
      </c>
      <c r="D71" s="9" t="s">
        <v>495</v>
      </c>
      <c r="E71" s="9"/>
      <c r="F71" s="9">
        <v>0</v>
      </c>
      <c r="G71" s="83">
        <v>2684</v>
      </c>
      <c r="H71" s="83">
        <f t="shared" si="10"/>
        <v>250</v>
      </c>
      <c r="I71" s="133">
        <f t="shared" si="11"/>
        <v>9.3100000000000002E-2</v>
      </c>
      <c r="J71" s="82">
        <v>0</v>
      </c>
      <c r="K71" s="82"/>
      <c r="L71" s="82"/>
      <c r="M71" s="82"/>
      <c r="N71" s="82"/>
      <c r="O71" s="82"/>
      <c r="P71" s="82"/>
      <c r="Q71" s="82"/>
      <c r="R71" s="82"/>
      <c r="S71" s="23"/>
      <c r="T71" s="23"/>
      <c r="U71" s="23">
        <v>250</v>
      </c>
      <c r="V71" s="79" t="s">
        <v>548</v>
      </c>
      <c r="W71" s="82">
        <f t="shared" si="8"/>
        <v>2434</v>
      </c>
      <c r="X71" s="79"/>
      <c r="Y71" s="79"/>
      <c r="Z71" s="79"/>
      <c r="AA71" s="82">
        <v>0</v>
      </c>
      <c r="AB71" s="82"/>
      <c r="AC71" s="82"/>
      <c r="AD71" s="23"/>
      <c r="AE71" s="7" t="s">
        <v>387</v>
      </c>
      <c r="AH71" s="23">
        <f>SUM('2020 detail'!J71:U71)+'2020 detail'!AA71+'2020 detail'!AB71</f>
        <v>250</v>
      </c>
      <c r="AJ71" s="23">
        <f t="shared" si="9"/>
        <v>0</v>
      </c>
      <c r="AL71" t="str">
        <f t="shared" si="12"/>
        <v>Same</v>
      </c>
      <c r="AQ71" s="23">
        <v>250</v>
      </c>
    </row>
    <row r="72" spans="1:43" x14ac:dyDescent="0.2">
      <c r="A72" s="144" t="s">
        <v>70</v>
      </c>
      <c r="B72" s="9" t="s">
        <v>495</v>
      </c>
      <c r="C72" s="9" t="s">
        <v>495</v>
      </c>
      <c r="D72" s="9" t="s">
        <v>495</v>
      </c>
      <c r="E72" s="9"/>
      <c r="F72" s="9">
        <v>0</v>
      </c>
      <c r="G72" s="83">
        <v>2684</v>
      </c>
      <c r="H72" s="83">
        <f t="shared" si="10"/>
        <v>2684</v>
      </c>
      <c r="I72" s="133">
        <f t="shared" si="11"/>
        <v>1</v>
      </c>
      <c r="J72" s="82">
        <v>0</v>
      </c>
      <c r="K72" s="82"/>
      <c r="L72" s="82"/>
      <c r="M72" s="82"/>
      <c r="N72" s="82"/>
      <c r="O72" s="82"/>
      <c r="P72" s="82"/>
      <c r="Q72" s="82"/>
      <c r="R72" s="82"/>
      <c r="S72" s="23"/>
      <c r="T72" s="23">
        <v>2684</v>
      </c>
      <c r="U72" s="23"/>
      <c r="V72" s="79" t="s">
        <v>549</v>
      </c>
      <c r="W72" s="82">
        <f t="shared" si="8"/>
        <v>0</v>
      </c>
      <c r="X72" s="79"/>
      <c r="Y72" s="79"/>
      <c r="Z72" s="79"/>
      <c r="AA72" s="82">
        <v>0</v>
      </c>
      <c r="AB72" s="82"/>
      <c r="AC72" s="82"/>
      <c r="AD72" s="23"/>
      <c r="AE72" s="7" t="s">
        <v>387</v>
      </c>
      <c r="AH72" s="23">
        <f>SUM('2020 detail'!J72:U72)+'2020 detail'!AA72+'2020 detail'!AB72</f>
        <v>2684</v>
      </c>
      <c r="AJ72" s="23">
        <f t="shared" si="9"/>
        <v>0</v>
      </c>
      <c r="AL72" t="str">
        <f t="shared" si="12"/>
        <v>Same</v>
      </c>
    </row>
    <row r="73" spans="1:43" x14ac:dyDescent="0.2">
      <c r="A73" s="144" t="s">
        <v>71</v>
      </c>
      <c r="B73" s="9" t="s">
        <v>495</v>
      </c>
      <c r="C73" s="9" t="s">
        <v>495</v>
      </c>
      <c r="D73" s="9" t="s">
        <v>495</v>
      </c>
      <c r="E73" s="9"/>
      <c r="F73" s="9">
        <v>0</v>
      </c>
      <c r="G73" s="83">
        <v>63265</v>
      </c>
      <c r="H73" s="83">
        <f t="shared" si="10"/>
        <v>63264.960000000006</v>
      </c>
      <c r="I73" s="133">
        <f t="shared" si="11"/>
        <v>1</v>
      </c>
      <c r="J73" s="82">
        <v>5272.08</v>
      </c>
      <c r="K73" s="82"/>
      <c r="L73" s="82">
        <v>5272.08</v>
      </c>
      <c r="M73" s="82">
        <v>5272.08</v>
      </c>
      <c r="N73" s="82">
        <v>5272.08</v>
      </c>
      <c r="O73" s="82">
        <v>5272.08</v>
      </c>
      <c r="P73" s="82">
        <v>5272.08</v>
      </c>
      <c r="Q73" s="82">
        <v>5272.08</v>
      </c>
      <c r="R73" s="82">
        <v>10544.16</v>
      </c>
      <c r="S73" s="23">
        <v>5272.08</v>
      </c>
      <c r="T73" s="23">
        <v>5272.08</v>
      </c>
      <c r="U73" s="23">
        <v>5272.08</v>
      </c>
      <c r="V73" s="79" t="s">
        <v>550</v>
      </c>
      <c r="W73" s="82">
        <f t="shared" si="8"/>
        <v>3.9999999993597157E-2</v>
      </c>
      <c r="X73" s="79"/>
      <c r="Y73" s="79"/>
      <c r="Z73" s="79"/>
      <c r="AA73" s="82">
        <v>0</v>
      </c>
      <c r="AB73" s="82"/>
      <c r="AC73" s="82"/>
      <c r="AD73" s="23"/>
      <c r="AE73" s="7" t="s">
        <v>393</v>
      </c>
      <c r="AH73" s="23">
        <f>SUM('2020 detail'!J73:U73)+'2020 detail'!AA73+'2020 detail'!AB73</f>
        <v>63265</v>
      </c>
      <c r="AJ73" s="23">
        <f t="shared" ref="AJ73:AJ81" si="13">H73-AH73</f>
        <v>-3.9999999993597157E-2</v>
      </c>
      <c r="AL73" t="str">
        <f t="shared" si="12"/>
        <v>Down</v>
      </c>
      <c r="AQ73" s="23">
        <v>5272.08</v>
      </c>
    </row>
    <row r="74" spans="1:43" x14ac:dyDescent="0.2">
      <c r="A74" s="144" t="s">
        <v>72</v>
      </c>
      <c r="B74" s="9" t="s">
        <v>495</v>
      </c>
      <c r="C74" s="9" t="s">
        <v>495</v>
      </c>
      <c r="D74" s="9">
        <v>0</v>
      </c>
      <c r="E74" s="9"/>
      <c r="F74" s="9" t="s">
        <v>495</v>
      </c>
      <c r="G74" s="83">
        <v>4346</v>
      </c>
      <c r="H74" s="83">
        <f t="shared" si="10"/>
        <v>4346</v>
      </c>
      <c r="I74" s="133">
        <f t="shared" si="11"/>
        <v>1</v>
      </c>
      <c r="J74" s="82">
        <v>363.92</v>
      </c>
      <c r="K74" s="82">
        <v>362.08</v>
      </c>
      <c r="L74" s="82">
        <v>362</v>
      </c>
      <c r="M74" s="82">
        <v>362</v>
      </c>
      <c r="N74" s="82">
        <v>362</v>
      </c>
      <c r="O74" s="82">
        <v>362</v>
      </c>
      <c r="P74" s="82">
        <v>362</v>
      </c>
      <c r="Q74" s="82">
        <v>362</v>
      </c>
      <c r="R74" s="82">
        <v>362</v>
      </c>
      <c r="S74" s="23">
        <v>362</v>
      </c>
      <c r="T74" s="23">
        <v>362</v>
      </c>
      <c r="U74" s="23">
        <v>362</v>
      </c>
      <c r="V74" s="79" t="s">
        <v>551</v>
      </c>
      <c r="W74" s="82">
        <f t="shared" si="8"/>
        <v>0</v>
      </c>
      <c r="X74" s="79"/>
      <c r="Y74" s="79"/>
      <c r="Z74" s="79"/>
      <c r="AA74" s="82">
        <v>0</v>
      </c>
      <c r="AB74" s="82"/>
      <c r="AC74" s="82"/>
      <c r="AD74" s="23"/>
      <c r="AE74" s="7" t="s">
        <v>393</v>
      </c>
      <c r="AH74" s="23">
        <f>SUM('2020 detail'!J74:U74)+'2020 detail'!AA74+'2020 detail'!AB74</f>
        <v>4346</v>
      </c>
      <c r="AJ74" s="23">
        <f t="shared" si="13"/>
        <v>0</v>
      </c>
      <c r="AL74" t="str">
        <f t="shared" si="12"/>
        <v>Same</v>
      </c>
      <c r="AQ74" s="23">
        <v>362</v>
      </c>
    </row>
    <row r="75" spans="1:43" x14ac:dyDescent="0.2">
      <c r="A75" s="144" t="s">
        <v>73</v>
      </c>
      <c r="B75" s="9" t="s">
        <v>495</v>
      </c>
      <c r="C75" s="9" t="s">
        <v>495</v>
      </c>
      <c r="D75" s="9" t="s">
        <v>495</v>
      </c>
      <c r="E75" s="9"/>
      <c r="F75" s="9" t="s">
        <v>495</v>
      </c>
      <c r="G75" s="83">
        <v>12290</v>
      </c>
      <c r="H75" s="83">
        <f t="shared" si="10"/>
        <v>12289.999999999996</v>
      </c>
      <c r="I75" s="133">
        <f t="shared" si="11"/>
        <v>1</v>
      </c>
      <c r="J75" s="82">
        <v>1025.28</v>
      </c>
      <c r="K75" s="82">
        <v>1024.1199999999999</v>
      </c>
      <c r="L75" s="82">
        <v>1024.06</v>
      </c>
      <c r="M75" s="82">
        <v>1024.06</v>
      </c>
      <c r="N75" s="82">
        <v>1024.06</v>
      </c>
      <c r="O75" s="82">
        <v>1024.06</v>
      </c>
      <c r="P75" s="82">
        <v>1024.06</v>
      </c>
      <c r="Q75" s="82">
        <v>1024.06</v>
      </c>
      <c r="R75" s="82">
        <v>1024.06</v>
      </c>
      <c r="S75" s="23">
        <v>1024.06</v>
      </c>
      <c r="T75" s="23">
        <v>1024.06</v>
      </c>
      <c r="U75" s="23">
        <v>1024.06</v>
      </c>
      <c r="V75" s="79" t="s">
        <v>552</v>
      </c>
      <c r="W75" s="82">
        <f t="shared" si="8"/>
        <v>0</v>
      </c>
      <c r="X75" s="79"/>
      <c r="Y75" s="79"/>
      <c r="Z75" s="79"/>
      <c r="AA75" s="82">
        <v>0</v>
      </c>
      <c r="AB75" s="82"/>
      <c r="AC75" s="82"/>
      <c r="AD75" s="23"/>
      <c r="AE75" s="7" t="s">
        <v>392</v>
      </c>
      <c r="AH75" s="23">
        <f>SUM('2020 detail'!J75:U75)+'2020 detail'!AA75+'2020 detail'!AB75</f>
        <v>12290</v>
      </c>
      <c r="AJ75" s="23">
        <f t="shared" si="13"/>
        <v>0</v>
      </c>
      <c r="AL75" t="str">
        <f t="shared" si="12"/>
        <v>Same</v>
      </c>
      <c r="AQ75" s="23">
        <v>1024.06</v>
      </c>
    </row>
    <row r="76" spans="1:43" x14ac:dyDescent="0.2">
      <c r="A76" s="144" t="s">
        <v>74</v>
      </c>
      <c r="B76" s="9" t="s">
        <v>495</v>
      </c>
      <c r="C76" s="9" t="s">
        <v>495</v>
      </c>
      <c r="D76" s="9" t="s">
        <v>495</v>
      </c>
      <c r="E76" s="9"/>
      <c r="F76" s="9">
        <v>0</v>
      </c>
      <c r="G76" s="83">
        <v>16112</v>
      </c>
      <c r="H76" s="83">
        <f t="shared" si="10"/>
        <v>8052</v>
      </c>
      <c r="I76" s="133">
        <f t="shared" si="11"/>
        <v>0.49980000000000002</v>
      </c>
      <c r="J76" s="82">
        <v>0</v>
      </c>
      <c r="K76" s="82">
        <v>1342</v>
      </c>
      <c r="L76" s="82"/>
      <c r="M76" s="82">
        <v>1342</v>
      </c>
      <c r="N76" s="82"/>
      <c r="O76" s="82">
        <v>1342</v>
      </c>
      <c r="P76" s="82"/>
      <c r="Q76" s="82">
        <v>1342</v>
      </c>
      <c r="R76" s="82"/>
      <c r="S76" s="23">
        <v>1342</v>
      </c>
      <c r="T76" s="23">
        <v>1342</v>
      </c>
      <c r="U76" s="23"/>
      <c r="V76" s="79" t="s">
        <v>553</v>
      </c>
      <c r="W76" s="82">
        <f t="shared" si="8"/>
        <v>8060</v>
      </c>
      <c r="X76" s="79"/>
      <c r="Y76" s="79"/>
      <c r="Z76" s="79"/>
      <c r="AA76" s="82">
        <v>0</v>
      </c>
      <c r="AB76" s="82"/>
      <c r="AC76" s="82"/>
      <c r="AD76" s="23"/>
      <c r="AE76" s="7" t="s">
        <v>392</v>
      </c>
      <c r="AH76" s="23">
        <f>SUM('2020 detail'!J76:U76)+'2020 detail'!AA76+'2020 detail'!AB76</f>
        <v>16112</v>
      </c>
      <c r="AJ76" s="23">
        <f t="shared" si="13"/>
        <v>-8060</v>
      </c>
      <c r="AL76" t="str">
        <f t="shared" si="12"/>
        <v>Down</v>
      </c>
    </row>
    <row r="77" spans="1:43" x14ac:dyDescent="0.2">
      <c r="A77" s="144" t="s">
        <v>75</v>
      </c>
      <c r="B77" s="9" t="s">
        <v>495</v>
      </c>
      <c r="C77" s="9" t="s">
        <v>495</v>
      </c>
      <c r="D77" s="9">
        <v>0</v>
      </c>
      <c r="E77" s="9"/>
      <c r="F77" s="9">
        <v>0</v>
      </c>
      <c r="G77" s="83">
        <v>11832</v>
      </c>
      <c r="H77" s="83">
        <f t="shared" si="10"/>
        <v>5312</v>
      </c>
      <c r="I77" s="133">
        <f t="shared" si="11"/>
        <v>0.44900000000000001</v>
      </c>
      <c r="J77" s="82">
        <v>0</v>
      </c>
      <c r="K77" s="82"/>
      <c r="L77" s="82"/>
      <c r="M77" s="82"/>
      <c r="N77" s="82">
        <v>1000</v>
      </c>
      <c r="O77" s="82"/>
      <c r="P77" s="82"/>
      <c r="Q77" s="82"/>
      <c r="R77" s="82">
        <v>1000</v>
      </c>
      <c r="S77" s="23"/>
      <c r="T77" s="23"/>
      <c r="U77" s="23">
        <v>3000</v>
      </c>
      <c r="V77" s="79" t="s">
        <v>554</v>
      </c>
      <c r="W77" s="82">
        <f t="shared" si="8"/>
        <v>6520</v>
      </c>
      <c r="X77" s="79"/>
      <c r="Y77" s="79"/>
      <c r="Z77" s="79"/>
      <c r="AA77" s="82">
        <v>0</v>
      </c>
      <c r="AB77" s="82">
        <v>312</v>
      </c>
      <c r="AC77" s="82"/>
      <c r="AD77" s="23"/>
      <c r="AE77" s="7" t="s">
        <v>390</v>
      </c>
      <c r="AH77" s="23">
        <f>SUM('2020 detail'!J77:U77)+'2020 detail'!AA77+'2020 detail'!AB77</f>
        <v>2087.33</v>
      </c>
      <c r="AJ77" s="23">
        <f t="shared" si="13"/>
        <v>3224.67</v>
      </c>
      <c r="AL77" t="str">
        <f t="shared" si="12"/>
        <v>Up</v>
      </c>
      <c r="AQ77" s="23">
        <v>3000</v>
      </c>
    </row>
    <row r="78" spans="1:43" x14ac:dyDescent="0.2">
      <c r="A78" s="144" t="s">
        <v>76</v>
      </c>
      <c r="B78" s="9" t="s">
        <v>495</v>
      </c>
      <c r="C78" s="9" t="s">
        <v>495</v>
      </c>
      <c r="D78" s="9">
        <v>0</v>
      </c>
      <c r="E78" s="9"/>
      <c r="F78" s="9">
        <v>0</v>
      </c>
      <c r="G78" s="83">
        <v>11851</v>
      </c>
      <c r="H78" s="83">
        <f t="shared" si="10"/>
        <v>1000</v>
      </c>
      <c r="I78" s="133">
        <f t="shared" si="11"/>
        <v>8.4400000000000003E-2</v>
      </c>
      <c r="J78" s="82">
        <v>0</v>
      </c>
      <c r="K78" s="82"/>
      <c r="L78" s="82"/>
      <c r="N78" s="82"/>
      <c r="O78" s="82"/>
      <c r="P78" s="82"/>
      <c r="Q78" s="82"/>
      <c r="R78" s="82"/>
      <c r="S78" s="23"/>
      <c r="T78" s="23">
        <v>1000</v>
      </c>
      <c r="U78" s="23"/>
      <c r="V78" s="79" t="s">
        <v>555</v>
      </c>
      <c r="W78" s="82">
        <f t="shared" si="8"/>
        <v>10851</v>
      </c>
      <c r="X78" s="79"/>
      <c r="Y78" s="79"/>
      <c r="Z78" s="79"/>
      <c r="AA78" s="82">
        <v>0</v>
      </c>
      <c r="AB78" s="82"/>
      <c r="AC78" s="82"/>
      <c r="AD78" s="23"/>
      <c r="AE78" s="7" t="s">
        <v>391</v>
      </c>
      <c r="AH78" s="23">
        <f>SUM('2020 detail'!J78:U78)+'2020 detail'!AA78+'2020 detail'!AB78</f>
        <v>1500</v>
      </c>
      <c r="AJ78" s="23">
        <f t="shared" si="13"/>
        <v>-500</v>
      </c>
      <c r="AL78" t="str">
        <f t="shared" si="12"/>
        <v>Down</v>
      </c>
    </row>
    <row r="79" spans="1:43" x14ac:dyDescent="0.2">
      <c r="A79" s="144" t="s">
        <v>77</v>
      </c>
      <c r="B79" s="9" t="s">
        <v>495</v>
      </c>
      <c r="C79" s="9">
        <v>0</v>
      </c>
      <c r="D79" s="9">
        <v>0</v>
      </c>
      <c r="E79" s="9"/>
      <c r="F79" s="9">
        <v>0</v>
      </c>
      <c r="G79" s="83">
        <v>17785</v>
      </c>
      <c r="H79" s="83">
        <f t="shared" si="10"/>
        <v>17785</v>
      </c>
      <c r="I79" s="133">
        <f t="shared" si="11"/>
        <v>1</v>
      </c>
      <c r="J79" s="82">
        <v>0</v>
      </c>
      <c r="K79" s="82"/>
      <c r="L79" s="82"/>
      <c r="M79" s="82">
        <v>4446</v>
      </c>
      <c r="N79" s="82">
        <v>4446</v>
      </c>
      <c r="O79" s="82"/>
      <c r="P79" s="82"/>
      <c r="Q79" s="82"/>
      <c r="R79" s="82"/>
      <c r="S79" s="23"/>
      <c r="T79" s="23"/>
      <c r="U79" s="23">
        <v>8893</v>
      </c>
      <c r="V79" s="79" t="s">
        <v>556</v>
      </c>
      <c r="W79" s="82">
        <f t="shared" si="8"/>
        <v>0</v>
      </c>
      <c r="X79" s="79"/>
      <c r="Y79" s="79"/>
      <c r="Z79" s="79"/>
      <c r="AA79" s="82">
        <v>0</v>
      </c>
      <c r="AB79" s="82"/>
      <c r="AC79" s="82"/>
      <c r="AD79" s="23"/>
      <c r="AE79" s="7" t="s">
        <v>387</v>
      </c>
      <c r="AH79" s="23">
        <f>SUM('2020 detail'!J79:U79)+'2020 detail'!AA79+'2020 detail'!AB79</f>
        <v>17785</v>
      </c>
      <c r="AJ79" s="23">
        <f t="shared" si="13"/>
        <v>0</v>
      </c>
      <c r="AL79" t="str">
        <f t="shared" si="12"/>
        <v>Same</v>
      </c>
      <c r="AQ79" s="23">
        <v>8893</v>
      </c>
    </row>
    <row r="80" spans="1:43" x14ac:dyDescent="0.2">
      <c r="G80" s="83"/>
      <c r="H80" s="83"/>
      <c r="I80" s="133"/>
      <c r="J80" s="82"/>
      <c r="K80" s="82"/>
      <c r="L80" s="82"/>
      <c r="X80" s="79"/>
      <c r="AH80" s="238">
        <v>30000</v>
      </c>
      <c r="AJ80" s="82"/>
    </row>
    <row r="81" spans="1:43" x14ac:dyDescent="0.2">
      <c r="A81" s="235" t="s">
        <v>1056</v>
      </c>
      <c r="G81" s="83">
        <f>SUM(G49:G80)</f>
        <v>524092</v>
      </c>
      <c r="H81" s="83">
        <f>SUM(H49:H80)</f>
        <v>394993.43000000005</v>
      </c>
      <c r="I81" s="133">
        <f t="shared" ref="I81:I82" si="14">ROUND((H81/G81),4)</f>
        <v>0.75370000000000004</v>
      </c>
      <c r="J81" s="83">
        <f>SUM(J49:J80)</f>
        <v>22836.629999999997</v>
      </c>
      <c r="K81" s="83">
        <f t="shared" ref="K81:W81" si="15">SUM(K49:K80)</f>
        <v>17090.189999999999</v>
      </c>
      <c r="L81" s="83">
        <f t="shared" si="15"/>
        <v>29166.7</v>
      </c>
      <c r="M81" s="83">
        <f t="shared" si="15"/>
        <v>34817.589999999997</v>
      </c>
      <c r="N81" s="83">
        <f t="shared" si="15"/>
        <v>35824.589999999997</v>
      </c>
      <c r="O81" s="83">
        <f t="shared" si="15"/>
        <v>33720.589999999997</v>
      </c>
      <c r="P81" s="83">
        <f t="shared" si="15"/>
        <v>30735.529999999995</v>
      </c>
      <c r="Q81" s="83">
        <f t="shared" si="15"/>
        <v>39720.589999999997</v>
      </c>
      <c r="R81" s="83">
        <f t="shared" si="15"/>
        <v>31650.67</v>
      </c>
      <c r="S81" s="4">
        <f t="shared" si="15"/>
        <v>29321.59</v>
      </c>
      <c r="T81" s="4">
        <f t="shared" si="15"/>
        <v>35547.49</v>
      </c>
      <c r="U81" s="4">
        <f t="shared" si="15"/>
        <v>52298.43</v>
      </c>
      <c r="V81" s="77"/>
      <c r="W81" s="82">
        <f t="shared" si="15"/>
        <v>129098.56999999999</v>
      </c>
      <c r="X81" s="79"/>
      <c r="Y81" s="77"/>
      <c r="Z81" s="77"/>
      <c r="AA81" s="83">
        <f>SUM(AA49:AA80)</f>
        <v>1950.84</v>
      </c>
      <c r="AB81" s="83">
        <f t="shared" ref="AB81:AC81" si="16">SUM(AB49:AB80)</f>
        <v>312</v>
      </c>
      <c r="AC81" s="83">
        <f t="shared" si="16"/>
        <v>0</v>
      </c>
      <c r="AD81" s="4"/>
      <c r="AH81" s="23">
        <f>SUM(AH49:AH80)</f>
        <v>441788.27</v>
      </c>
      <c r="AJ81" s="23">
        <f t="shared" si="13"/>
        <v>-46794.839999999967</v>
      </c>
      <c r="AM81" s="11">
        <f>SUM(J81:R81)+SUM(S82:U82)+SUM('2020 detail'!AA81:AC81)</f>
        <v>401491.62999999995</v>
      </c>
      <c r="AN81" s="24">
        <f>ROUND((AM81/G81),4)</f>
        <v>0.7661</v>
      </c>
      <c r="AO81" s="24">
        <f>ROUND((SUM(J82:U82)/G82),4)</f>
        <v>0.78569999999999995</v>
      </c>
      <c r="AQ81" s="23">
        <f>SUM(AQ49:AQ80)</f>
        <v>52298.43</v>
      </c>
    </row>
    <row r="82" spans="1:43" x14ac:dyDescent="0.2">
      <c r="A82" s="236" t="s">
        <v>1057</v>
      </c>
      <c r="G82" s="206">
        <f>'2020 detail'!G82</f>
        <v>524093</v>
      </c>
      <c r="H82" s="206">
        <f>SUM(J82:AC82)</f>
        <v>444698.33</v>
      </c>
      <c r="I82" s="207">
        <f t="shared" si="14"/>
        <v>0.84850000000000003</v>
      </c>
      <c r="J82" s="206">
        <f>'2020 detail'!J82</f>
        <v>26103.270000000004</v>
      </c>
      <c r="K82" s="206">
        <f>'2020 detail'!K82</f>
        <v>36135.269999999997</v>
      </c>
      <c r="L82" s="206">
        <f>'2020 detail'!L82</f>
        <v>28507.979999999996</v>
      </c>
      <c r="M82" s="206">
        <f>'2020 detail'!M82</f>
        <v>28157.949999999997</v>
      </c>
      <c r="N82" s="206">
        <f>'2020 detail'!N82</f>
        <v>38403.449999999997</v>
      </c>
      <c r="O82" s="206">
        <f>'2020 detail'!O82</f>
        <v>26012.949999999997</v>
      </c>
      <c r="P82" s="206">
        <f>'2020 detail'!P82</f>
        <v>32012.949999999997</v>
      </c>
      <c r="Q82" s="206">
        <f>'2020 detail'!Q82</f>
        <v>33012.949999999997</v>
      </c>
      <c r="R82" s="206">
        <f>'2020 detail'!R82</f>
        <v>37512.949999999997</v>
      </c>
      <c r="S82" s="165">
        <f>'2020 detail'!S82</f>
        <v>42115.959999999992</v>
      </c>
      <c r="T82" s="165">
        <f>'2020 detail'!T82</f>
        <v>33984.979999999996</v>
      </c>
      <c r="U82" s="165">
        <f>'2020 detail'!U82</f>
        <v>49827.61</v>
      </c>
      <c r="X82" s="79"/>
      <c r="AA82" s="165">
        <f>'2020 detail'!AA82</f>
        <v>0</v>
      </c>
      <c r="AB82" s="165">
        <f>'2020 detail'!AB82</f>
        <v>30000</v>
      </c>
      <c r="AC82" s="165">
        <f>'2020 detail'!AC82</f>
        <v>2910.06</v>
      </c>
      <c r="AJ82" s="23"/>
    </row>
    <row r="83" spans="1:43" x14ac:dyDescent="0.2">
      <c r="X83" s="79"/>
      <c r="AJ83" s="23"/>
    </row>
    <row r="84" spans="1:43" ht="15.75" x14ac:dyDescent="0.25">
      <c r="G84" s="196" t="s">
        <v>8</v>
      </c>
      <c r="X84" s="79"/>
      <c r="AH84" s="171" t="s">
        <v>1067</v>
      </c>
      <c r="AI84" s="172"/>
      <c r="AJ84" s="171" t="s">
        <v>1064</v>
      </c>
    </row>
    <row r="85" spans="1:43" x14ac:dyDescent="0.2">
      <c r="X85" s="79"/>
      <c r="AH85" s="171" t="s">
        <v>1096</v>
      </c>
      <c r="AI85" s="172"/>
      <c r="AJ85" s="171" t="s">
        <v>1065</v>
      </c>
    </row>
    <row r="86" spans="1:43" ht="16.5" x14ac:dyDescent="0.25">
      <c r="A86" s="6"/>
      <c r="B86" s="8"/>
      <c r="C86" s="8"/>
      <c r="E86" s="8"/>
      <c r="F86" s="8"/>
      <c r="G86" s="208" t="str">
        <f>$G$3</f>
        <v>2021 PARISH SHARE INFORMATION AS AT 22 FEBRUARY 2022</v>
      </c>
      <c r="H86" s="209"/>
      <c r="W86" s="194"/>
      <c r="X86"/>
      <c r="Y86"/>
      <c r="Z86"/>
      <c r="AA86"/>
      <c r="AB86"/>
      <c r="AC86"/>
      <c r="AH86" s="172"/>
      <c r="AI86" s="172"/>
      <c r="AJ86" s="171" t="s">
        <v>1066</v>
      </c>
    </row>
    <row r="87" spans="1:43" x14ac:dyDescent="0.2">
      <c r="A87" s="6"/>
      <c r="G87" s="205"/>
      <c r="H87" s="197"/>
      <c r="W87" s="194"/>
      <c r="X87"/>
      <c r="Y87"/>
      <c r="Z87"/>
      <c r="AA87"/>
      <c r="AB87"/>
      <c r="AC87"/>
      <c r="AJ87" s="23"/>
    </row>
    <row r="88" spans="1:43" ht="16.5" x14ac:dyDescent="0.25">
      <c r="A88" s="204" t="s">
        <v>1</v>
      </c>
      <c r="B88" s="151" t="str">
        <f>$B$5</f>
        <v>RM</v>
      </c>
      <c r="C88" s="151" t="str">
        <f>$C$5</f>
        <v>RF</v>
      </c>
      <c r="D88" s="151" t="str">
        <f>$D$5</f>
        <v>Accts</v>
      </c>
      <c r="E88" s="151"/>
      <c r="F88" s="151" t="str">
        <f>$F$5</f>
        <v>Share DD</v>
      </c>
      <c r="G88" s="210" t="str">
        <f>$G$5</f>
        <v xml:space="preserve">2021 Share </v>
      </c>
      <c r="H88" s="211" t="str">
        <f>$H$5</f>
        <v xml:space="preserve">2021 Paid </v>
      </c>
      <c r="I88" s="211" t="str">
        <f>$I$5</f>
        <v xml:space="preserve">% Paid </v>
      </c>
      <c r="J88" s="212">
        <f>$J$5</f>
        <v>44227</v>
      </c>
      <c r="K88" s="212">
        <f>$K$5</f>
        <v>44255</v>
      </c>
      <c r="L88" s="212">
        <f>$L$5</f>
        <v>44286</v>
      </c>
      <c r="M88" s="212">
        <f>$M$5</f>
        <v>44316</v>
      </c>
      <c r="N88" s="212">
        <f>$N$5</f>
        <v>44347</v>
      </c>
      <c r="O88" s="212">
        <f>$O$5</f>
        <v>44377</v>
      </c>
      <c r="P88" s="212">
        <f>$P$5</f>
        <v>44408</v>
      </c>
      <c r="Q88" s="212">
        <f>$Q$5</f>
        <v>44439</v>
      </c>
      <c r="R88" s="212">
        <f>$R$5</f>
        <v>44469</v>
      </c>
      <c r="S88" s="155">
        <f>$S$5</f>
        <v>44500</v>
      </c>
      <c r="T88" s="155">
        <f>$T$5</f>
        <v>44530</v>
      </c>
      <c r="U88" s="155">
        <f>$U$5</f>
        <v>44561</v>
      </c>
      <c r="V88" s="78"/>
      <c r="W88" s="195" t="str">
        <f>$W$5</f>
        <v xml:space="preserve">Outstanding </v>
      </c>
      <c r="X88" s="2"/>
      <c r="Y88" s="2"/>
      <c r="Z88" s="2"/>
      <c r="AA88" s="2">
        <f>$AA$5</f>
        <v>44592</v>
      </c>
      <c r="AB88" s="2">
        <f>$AB$5</f>
        <v>44620</v>
      </c>
      <c r="AC88" s="2">
        <f>$AC$5</f>
        <v>44651</v>
      </c>
      <c r="AE88" s="152" t="str">
        <f>$AE$5</f>
        <v>Benefice</v>
      </c>
      <c r="AH88" s="16" t="s">
        <v>1062</v>
      </c>
      <c r="AJ88" s="170" t="s">
        <v>1063</v>
      </c>
      <c r="AQ88" s="222">
        <f>AQ5</f>
        <v>44588</v>
      </c>
    </row>
    <row r="89" spans="1:43" ht="16.5" x14ac:dyDescent="0.25">
      <c r="A89" s="6"/>
      <c r="G89" s="201" t="s">
        <v>1040</v>
      </c>
      <c r="H89" s="202" t="s">
        <v>1040</v>
      </c>
      <c r="I89" s="203"/>
      <c r="J89" s="202" t="s">
        <v>1040</v>
      </c>
      <c r="K89" s="202" t="s">
        <v>1040</v>
      </c>
      <c r="L89" s="202" t="s">
        <v>1040</v>
      </c>
      <c r="M89" s="202" t="s">
        <v>1040</v>
      </c>
      <c r="N89" s="202" t="s">
        <v>1040</v>
      </c>
      <c r="O89" s="202" t="s">
        <v>1040</v>
      </c>
      <c r="P89" s="202" t="s">
        <v>1040</v>
      </c>
      <c r="Q89" s="202" t="s">
        <v>1040</v>
      </c>
      <c r="R89" s="202" t="s">
        <v>1040</v>
      </c>
      <c r="S89" s="147" t="s">
        <v>1040</v>
      </c>
      <c r="T89" s="147" t="s">
        <v>1040</v>
      </c>
      <c r="U89" s="147" t="s">
        <v>1040</v>
      </c>
      <c r="W89" s="194"/>
      <c r="X89"/>
      <c r="Y89"/>
      <c r="Z89"/>
      <c r="AA89"/>
      <c r="AB89"/>
      <c r="AC89"/>
      <c r="AJ89" s="23"/>
    </row>
    <row r="90" spans="1:43" x14ac:dyDescent="0.2">
      <c r="X90" s="79"/>
      <c r="AJ90" s="23"/>
    </row>
    <row r="91" spans="1:43" x14ac:dyDescent="0.2">
      <c r="A91" s="144" t="s">
        <v>78</v>
      </c>
      <c r="B91" s="9" t="s">
        <v>495</v>
      </c>
      <c r="C91" s="9" t="s">
        <v>495</v>
      </c>
      <c r="D91" s="9" t="s">
        <v>495</v>
      </c>
      <c r="E91" s="9"/>
      <c r="F91" s="9">
        <v>0</v>
      </c>
      <c r="G91" s="83">
        <v>17298</v>
      </c>
      <c r="H91" s="83">
        <f t="shared" ref="H91:H117" si="17">SUM(J91:U91)+SUM(AA91:AC91)</f>
        <v>17298</v>
      </c>
      <c r="I91" s="133">
        <f t="shared" ref="I91" si="18">ROUND((H91/G91),4)</f>
        <v>1</v>
      </c>
      <c r="J91" s="82">
        <v>700</v>
      </c>
      <c r="K91" s="82">
        <v>700</v>
      </c>
      <c r="L91" s="82">
        <v>700</v>
      </c>
      <c r="M91" s="82">
        <v>2926</v>
      </c>
      <c r="N91" s="82">
        <v>700</v>
      </c>
      <c r="O91" s="82">
        <v>700</v>
      </c>
      <c r="P91" s="82">
        <v>700</v>
      </c>
      <c r="Q91" s="82">
        <v>3668</v>
      </c>
      <c r="R91" s="82">
        <v>700</v>
      </c>
      <c r="S91" s="23">
        <v>2921</v>
      </c>
      <c r="T91" s="23">
        <v>1441.5</v>
      </c>
      <c r="U91" s="23">
        <v>1441.5</v>
      </c>
      <c r="V91" s="79" t="s">
        <v>557</v>
      </c>
      <c r="W91" s="82">
        <f t="shared" ref="W91:W117" si="19">G91-H91</f>
        <v>0</v>
      </c>
      <c r="X91" s="79"/>
      <c r="Y91" s="4"/>
      <c r="Z91" s="4"/>
      <c r="AA91" s="82">
        <v>0</v>
      </c>
      <c r="AB91" s="82"/>
      <c r="AC91" s="82"/>
      <c r="AD91" s="23"/>
      <c r="AE91" s="7" t="s">
        <v>394</v>
      </c>
      <c r="AH91" s="23">
        <f>SUM('2020 detail'!J91:U91)+'2020 detail'!AA91+'2020 detail'!AB91</f>
        <v>15916</v>
      </c>
      <c r="AJ91" s="23">
        <f t="shared" ref="AJ91:AJ136" si="20">H91-AH91</f>
        <v>1382</v>
      </c>
      <c r="AL91" t="str">
        <f t="shared" ref="AL91:AL117" si="21">IF(AJ91&lt;0,"Down",IF(AJ91&gt;0,"Up","Same"))</f>
        <v>Up</v>
      </c>
      <c r="AQ91" s="23">
        <v>1441.5</v>
      </c>
    </row>
    <row r="92" spans="1:43" x14ac:dyDescent="0.2">
      <c r="A92" s="144" t="s">
        <v>79</v>
      </c>
      <c r="B92" s="9" t="s">
        <v>495</v>
      </c>
      <c r="C92" s="9">
        <v>0</v>
      </c>
      <c r="D92" s="9" t="s">
        <v>495</v>
      </c>
      <c r="E92" s="9"/>
      <c r="F92" s="9">
        <v>0</v>
      </c>
      <c r="G92" s="83">
        <v>14646</v>
      </c>
      <c r="H92" s="83">
        <f t="shared" si="17"/>
        <v>14646</v>
      </c>
      <c r="I92" s="133">
        <f t="shared" ref="I92:I117" si="22">ROUND((H92/G92),4)</f>
        <v>1</v>
      </c>
      <c r="J92" s="82">
        <v>750</v>
      </c>
      <c r="K92" s="82">
        <v>750</v>
      </c>
      <c r="L92" s="82">
        <v>750</v>
      </c>
      <c r="M92" s="82">
        <v>750</v>
      </c>
      <c r="N92" s="82">
        <v>750</v>
      </c>
      <c r="O92" s="82">
        <v>750</v>
      </c>
      <c r="P92" s="82">
        <v>750</v>
      </c>
      <c r="Q92" s="82">
        <v>750</v>
      </c>
      <c r="R92" s="82">
        <v>1062</v>
      </c>
      <c r="S92" s="23">
        <v>750</v>
      </c>
      <c r="T92" s="23">
        <v>750</v>
      </c>
      <c r="U92" s="23">
        <v>6084</v>
      </c>
      <c r="V92" s="79" t="s">
        <v>558</v>
      </c>
      <c r="W92" s="82">
        <f t="shared" si="19"/>
        <v>0</v>
      </c>
      <c r="X92" s="79"/>
      <c r="Y92" s="79"/>
      <c r="Z92" s="79"/>
      <c r="AA92" s="82">
        <v>0</v>
      </c>
      <c r="AB92" s="82"/>
      <c r="AC92" s="82"/>
      <c r="AD92" s="23"/>
      <c r="AE92" s="7" t="s">
        <v>394</v>
      </c>
      <c r="AH92" s="23">
        <f>SUM('2020 detail'!J92:U92)+'2020 detail'!AA92+'2020 detail'!AB92</f>
        <v>13263</v>
      </c>
      <c r="AJ92" s="23">
        <f t="shared" si="20"/>
        <v>1383</v>
      </c>
      <c r="AL92" t="str">
        <f t="shared" si="21"/>
        <v>Up</v>
      </c>
      <c r="AQ92" s="23">
        <v>6084</v>
      </c>
    </row>
    <row r="93" spans="1:43" x14ac:dyDescent="0.2">
      <c r="A93" s="144" t="s">
        <v>80</v>
      </c>
      <c r="B93" s="9" t="s">
        <v>495</v>
      </c>
      <c r="C93" s="9" t="s">
        <v>495</v>
      </c>
      <c r="D93" s="9" t="s">
        <v>495</v>
      </c>
      <c r="E93" s="9"/>
      <c r="F93" s="9" t="s">
        <v>495</v>
      </c>
      <c r="G93" s="83">
        <v>27226</v>
      </c>
      <c r="H93" s="83">
        <f t="shared" si="17"/>
        <v>9379.4</v>
      </c>
      <c r="I93" s="133">
        <f t="shared" si="22"/>
        <v>0.34449999999999997</v>
      </c>
      <c r="J93" s="82">
        <v>0</v>
      </c>
      <c r="K93" s="82"/>
      <c r="L93" s="82">
        <v>2344.85</v>
      </c>
      <c r="M93" s="82">
        <v>2344.85</v>
      </c>
      <c r="N93" s="82"/>
      <c r="O93" s="82"/>
      <c r="P93" s="82"/>
      <c r="Q93" s="82">
        <v>2344.85</v>
      </c>
      <c r="R93" s="82"/>
      <c r="S93" s="23">
        <v>2344.85</v>
      </c>
      <c r="T93" s="23"/>
      <c r="U93" s="23"/>
      <c r="V93" s="79" t="s">
        <v>559</v>
      </c>
      <c r="W93" s="82">
        <f t="shared" si="19"/>
        <v>17846.599999999999</v>
      </c>
      <c r="X93" s="79"/>
      <c r="Y93" s="79"/>
      <c r="Z93" s="79"/>
      <c r="AA93" s="82">
        <v>0</v>
      </c>
      <c r="AB93" s="82"/>
      <c r="AC93" s="82"/>
      <c r="AD93" s="23"/>
      <c r="AE93" s="7" t="s">
        <v>1200</v>
      </c>
      <c r="AH93" s="23">
        <f>SUM('2020 detail'!J93:U93)+'2020 detail'!AA93+'2020 detail'!AB93</f>
        <v>10812.04</v>
      </c>
      <c r="AJ93" s="23">
        <f t="shared" si="20"/>
        <v>-1432.6400000000012</v>
      </c>
      <c r="AL93" t="str">
        <f t="shared" si="21"/>
        <v>Down</v>
      </c>
    </row>
    <row r="94" spans="1:43" x14ac:dyDescent="0.2">
      <c r="A94" s="144" t="s">
        <v>81</v>
      </c>
      <c r="B94" s="9" t="s">
        <v>495</v>
      </c>
      <c r="C94" s="9" t="s">
        <v>495</v>
      </c>
      <c r="D94" s="9">
        <v>0</v>
      </c>
      <c r="E94" s="9"/>
      <c r="F94" s="9">
        <v>0</v>
      </c>
      <c r="G94" s="83">
        <v>27227</v>
      </c>
      <c r="H94" s="83">
        <f t="shared" si="17"/>
        <v>4000</v>
      </c>
      <c r="I94" s="133">
        <f t="shared" si="22"/>
        <v>0.1469</v>
      </c>
      <c r="J94" s="82">
        <v>0</v>
      </c>
      <c r="K94" s="82">
        <v>2000</v>
      </c>
      <c r="L94" s="82"/>
      <c r="M94" s="82"/>
      <c r="N94" s="82"/>
      <c r="O94" s="82"/>
      <c r="P94" s="82"/>
      <c r="Q94" s="82">
        <v>2000</v>
      </c>
      <c r="R94" s="82"/>
      <c r="S94" s="23"/>
      <c r="T94" s="23"/>
      <c r="U94" s="23"/>
      <c r="V94" s="79" t="s">
        <v>560</v>
      </c>
      <c r="W94" s="82">
        <f t="shared" si="19"/>
        <v>23227</v>
      </c>
      <c r="X94" s="79"/>
      <c r="Y94" s="79"/>
      <c r="Z94" s="79"/>
      <c r="AA94" s="82">
        <v>0</v>
      </c>
      <c r="AB94" s="82"/>
      <c r="AC94" s="82"/>
      <c r="AD94" s="23"/>
      <c r="AE94" s="7" t="s">
        <v>1200</v>
      </c>
      <c r="AH94" s="23">
        <f>SUM('2020 detail'!J94:U94)+'2020 detail'!AA94+'2020 detail'!AB94</f>
        <v>12000</v>
      </c>
      <c r="AJ94" s="23">
        <f t="shared" si="20"/>
        <v>-8000</v>
      </c>
      <c r="AL94" t="str">
        <f t="shared" si="21"/>
        <v>Down</v>
      </c>
    </row>
    <row r="95" spans="1:43" x14ac:dyDescent="0.2">
      <c r="A95" s="144" t="s">
        <v>82</v>
      </c>
      <c r="B95" s="9" t="s">
        <v>495</v>
      </c>
      <c r="C95" s="9" t="s">
        <v>495</v>
      </c>
      <c r="D95" s="9">
        <v>0</v>
      </c>
      <c r="E95" s="9"/>
      <c r="F95" s="9">
        <v>0</v>
      </c>
      <c r="G95" s="83">
        <v>45545</v>
      </c>
      <c r="H95" s="83">
        <f t="shared" si="17"/>
        <v>45545</v>
      </c>
      <c r="I95" s="133">
        <f t="shared" si="22"/>
        <v>1</v>
      </c>
      <c r="J95" s="82">
        <v>3795.49</v>
      </c>
      <c r="K95" s="82">
        <v>3795.41</v>
      </c>
      <c r="L95" s="82">
        <v>3795.41</v>
      </c>
      <c r="M95" s="82">
        <v>3795.41</v>
      </c>
      <c r="N95" s="82">
        <v>3795.41</v>
      </c>
      <c r="O95" s="82">
        <v>3795.41</v>
      </c>
      <c r="P95" s="82">
        <v>3795.41</v>
      </c>
      <c r="Q95" s="82">
        <v>3795.41</v>
      </c>
      <c r="R95" s="82">
        <v>3795.41</v>
      </c>
      <c r="S95" s="23">
        <v>3795.41</v>
      </c>
      <c r="T95" s="23">
        <v>3795.41</v>
      </c>
      <c r="U95" s="23">
        <v>3795.41</v>
      </c>
      <c r="V95" s="79" t="s">
        <v>561</v>
      </c>
      <c r="W95" s="82">
        <f t="shared" si="19"/>
        <v>0</v>
      </c>
      <c r="X95" s="79"/>
      <c r="Y95" s="79"/>
      <c r="Z95" s="79"/>
      <c r="AA95" s="82">
        <v>0</v>
      </c>
      <c r="AB95" s="82"/>
      <c r="AC95" s="82"/>
      <c r="AD95" s="23"/>
      <c r="AE95" s="7" t="s">
        <v>1199</v>
      </c>
      <c r="AH95" s="23">
        <f>SUM('2020 detail'!J95:U95)+'2020 detail'!AA95+'2020 detail'!AB95</f>
        <v>45544.999999999993</v>
      </c>
      <c r="AJ95" s="23">
        <f t="shared" si="20"/>
        <v>0</v>
      </c>
      <c r="AL95" t="str">
        <f t="shared" si="21"/>
        <v>Same</v>
      </c>
      <c r="AQ95" s="23">
        <v>3795.41</v>
      </c>
    </row>
    <row r="96" spans="1:43" x14ac:dyDescent="0.2">
      <c r="A96" s="144" t="s">
        <v>83</v>
      </c>
      <c r="B96" s="9" t="s">
        <v>495</v>
      </c>
      <c r="C96" s="9">
        <v>0</v>
      </c>
      <c r="D96" s="9">
        <v>0</v>
      </c>
      <c r="E96" s="9"/>
      <c r="F96" s="9">
        <v>0</v>
      </c>
      <c r="G96" s="83">
        <v>33621</v>
      </c>
      <c r="H96" s="83">
        <f t="shared" si="17"/>
        <v>18380.98</v>
      </c>
      <c r="I96" s="133">
        <f t="shared" si="22"/>
        <v>0.54669999999999996</v>
      </c>
      <c r="J96" s="82">
        <v>1000</v>
      </c>
      <c r="K96" s="82">
        <v>1000</v>
      </c>
      <c r="L96" s="82">
        <v>1000</v>
      </c>
      <c r="M96" s="82">
        <v>1000</v>
      </c>
      <c r="N96" s="82">
        <v>1000</v>
      </c>
      <c r="O96" s="82">
        <v>1000</v>
      </c>
      <c r="P96" s="82">
        <v>1000</v>
      </c>
      <c r="Q96" s="82">
        <v>1000</v>
      </c>
      <c r="R96" s="82">
        <v>1000</v>
      </c>
      <c r="S96" s="23">
        <v>1000</v>
      </c>
      <c r="T96" s="23">
        <v>1000</v>
      </c>
      <c r="U96" s="23">
        <v>7380.98</v>
      </c>
      <c r="V96" s="79" t="s">
        <v>562</v>
      </c>
      <c r="W96" s="82">
        <f t="shared" si="19"/>
        <v>15240.02</v>
      </c>
      <c r="X96" s="79"/>
      <c r="Y96" s="79"/>
      <c r="Z96" s="79"/>
      <c r="AA96" s="82">
        <v>0</v>
      </c>
      <c r="AB96" s="82"/>
      <c r="AC96" s="82"/>
      <c r="AD96" s="23"/>
      <c r="AE96" s="7" t="s">
        <v>395</v>
      </c>
      <c r="AH96" s="23">
        <f>SUM('2020 detail'!J96:U96)+'2020 detail'!AA96+'2020 detail'!AB96</f>
        <v>23500</v>
      </c>
      <c r="AJ96" s="23">
        <f t="shared" si="20"/>
        <v>-5119.0200000000004</v>
      </c>
      <c r="AL96" t="str">
        <f t="shared" si="21"/>
        <v>Down</v>
      </c>
      <c r="AQ96" s="23">
        <v>7380.98</v>
      </c>
    </row>
    <row r="97" spans="1:43" x14ac:dyDescent="0.2">
      <c r="A97" s="144" t="s">
        <v>84</v>
      </c>
      <c r="B97" s="9">
        <v>0</v>
      </c>
      <c r="C97" s="9">
        <v>0</v>
      </c>
      <c r="D97" s="9">
        <v>0</v>
      </c>
      <c r="E97" s="9"/>
      <c r="F97" s="9" t="s">
        <v>495</v>
      </c>
      <c r="G97" s="83">
        <v>0</v>
      </c>
      <c r="H97" s="83">
        <f t="shared" si="17"/>
        <v>0</v>
      </c>
      <c r="I97" s="133" t="e">
        <f t="shared" si="22"/>
        <v>#DIV/0!</v>
      </c>
      <c r="J97" s="82">
        <v>0</v>
      </c>
      <c r="K97" s="82"/>
      <c r="L97" s="82"/>
      <c r="M97" s="82"/>
      <c r="N97" s="82"/>
      <c r="O97" s="82"/>
      <c r="P97" s="82"/>
      <c r="Q97" s="82"/>
      <c r="R97" s="82"/>
      <c r="S97" s="23"/>
      <c r="T97" s="23"/>
      <c r="U97" s="23"/>
      <c r="V97" s="79" t="s">
        <v>563</v>
      </c>
      <c r="W97" s="82">
        <f t="shared" si="19"/>
        <v>0</v>
      </c>
      <c r="X97" s="79"/>
      <c r="Y97" s="79"/>
      <c r="Z97" s="79"/>
      <c r="AA97" s="82">
        <v>0</v>
      </c>
      <c r="AB97" s="82"/>
      <c r="AC97" s="82"/>
      <c r="AD97" s="23"/>
      <c r="AH97" s="23">
        <f>SUM('2020 detail'!J97:U97)+'2020 detail'!AA97+'2020 detail'!AB97</f>
        <v>0</v>
      </c>
      <c r="AJ97" s="23">
        <f t="shared" si="20"/>
        <v>0</v>
      </c>
      <c r="AL97" t="str">
        <f t="shared" si="21"/>
        <v>Same</v>
      </c>
    </row>
    <row r="98" spans="1:43" x14ac:dyDescent="0.2">
      <c r="A98" s="144" t="s">
        <v>85</v>
      </c>
      <c r="B98" s="9" t="s">
        <v>495</v>
      </c>
      <c r="C98" s="9" t="s">
        <v>495</v>
      </c>
      <c r="D98" s="9">
        <v>0</v>
      </c>
      <c r="E98" s="9"/>
      <c r="F98" s="9" t="s">
        <v>495</v>
      </c>
      <c r="G98" s="83">
        <v>10667</v>
      </c>
      <c r="H98" s="83">
        <f t="shared" si="17"/>
        <v>6188</v>
      </c>
      <c r="I98" s="133">
        <f t="shared" si="22"/>
        <v>0.58009999999999995</v>
      </c>
      <c r="J98" s="82">
        <v>0</v>
      </c>
      <c r="K98" s="82"/>
      <c r="L98" s="82"/>
      <c r="M98" s="82"/>
      <c r="N98" s="82"/>
      <c r="O98" s="82"/>
      <c r="P98" s="82">
        <v>3094</v>
      </c>
      <c r="Q98" s="82"/>
      <c r="R98" s="82">
        <v>3094</v>
      </c>
      <c r="S98" s="23"/>
      <c r="T98" s="23"/>
      <c r="U98" s="23"/>
      <c r="V98" s="79" t="s">
        <v>564</v>
      </c>
      <c r="W98" s="82">
        <f t="shared" si="19"/>
        <v>4479</v>
      </c>
      <c r="X98" s="79"/>
      <c r="Y98" s="79"/>
      <c r="Z98" s="79"/>
      <c r="AA98" s="82">
        <v>0</v>
      </c>
      <c r="AB98" s="82"/>
      <c r="AC98" s="82"/>
      <c r="AD98" s="23"/>
      <c r="AE98" s="7" t="s">
        <v>394</v>
      </c>
      <c r="AH98" s="23">
        <f>SUM('2020 detail'!J98:U98)+'2020 detail'!AA98+'2020 detail'!AB98</f>
        <v>6963</v>
      </c>
      <c r="AJ98" s="23">
        <f t="shared" si="20"/>
        <v>-775</v>
      </c>
      <c r="AL98" t="str">
        <f t="shared" si="21"/>
        <v>Down</v>
      </c>
    </row>
    <row r="99" spans="1:43" x14ac:dyDescent="0.2">
      <c r="A99" s="144" t="s">
        <v>86</v>
      </c>
      <c r="B99" s="9" t="s">
        <v>495</v>
      </c>
      <c r="C99" s="9" t="s">
        <v>495</v>
      </c>
      <c r="D99" s="9" t="s">
        <v>495</v>
      </c>
      <c r="E99" s="9"/>
      <c r="F99" s="9">
        <v>0</v>
      </c>
      <c r="G99" s="83">
        <v>10383</v>
      </c>
      <c r="H99" s="83">
        <f t="shared" si="17"/>
        <v>10383</v>
      </c>
      <c r="I99" s="133">
        <f t="shared" si="22"/>
        <v>1</v>
      </c>
      <c r="J99" s="82">
        <v>100</v>
      </c>
      <c r="K99" s="82">
        <v>100</v>
      </c>
      <c r="L99" s="82">
        <v>100</v>
      </c>
      <c r="M99" s="82">
        <v>2300</v>
      </c>
      <c r="N99" s="82">
        <v>100</v>
      </c>
      <c r="O99" s="82">
        <v>100</v>
      </c>
      <c r="P99" s="82">
        <v>100</v>
      </c>
      <c r="Q99" s="82">
        <v>2100</v>
      </c>
      <c r="R99" s="82">
        <v>100</v>
      </c>
      <c r="S99" s="23">
        <v>1600</v>
      </c>
      <c r="T99" s="23">
        <v>100</v>
      </c>
      <c r="U99" s="23">
        <v>3583</v>
      </c>
      <c r="V99" s="79" t="s">
        <v>565</v>
      </c>
      <c r="W99" s="82">
        <f t="shared" si="19"/>
        <v>0</v>
      </c>
      <c r="X99" s="79"/>
      <c r="Y99" s="79"/>
      <c r="Z99" s="79"/>
      <c r="AA99" s="82">
        <v>0</v>
      </c>
      <c r="AB99" s="82"/>
      <c r="AC99" s="82"/>
      <c r="AD99" s="23"/>
      <c r="AE99" s="7" t="s">
        <v>394</v>
      </c>
      <c r="AH99" s="23">
        <f>SUM('2020 detail'!J99:U99)+'2020 detail'!AA99+'2020 detail'!AB99</f>
        <v>5890.82</v>
      </c>
      <c r="AJ99" s="23">
        <f t="shared" si="20"/>
        <v>4492.18</v>
      </c>
      <c r="AL99" t="str">
        <f t="shared" si="21"/>
        <v>Up</v>
      </c>
      <c r="AQ99" s="23">
        <v>3583</v>
      </c>
    </row>
    <row r="100" spans="1:43" x14ac:dyDescent="0.2">
      <c r="A100" s="144" t="s">
        <v>87</v>
      </c>
      <c r="B100" s="9">
        <v>0</v>
      </c>
      <c r="C100" s="9">
        <v>0</v>
      </c>
      <c r="D100" s="9">
        <v>0</v>
      </c>
      <c r="E100" s="9"/>
      <c r="F100" s="9">
        <v>0</v>
      </c>
      <c r="G100" s="83">
        <v>13322</v>
      </c>
      <c r="H100" s="83">
        <f t="shared" si="17"/>
        <v>13321.999999999998</v>
      </c>
      <c r="I100" s="133">
        <f t="shared" si="22"/>
        <v>1</v>
      </c>
      <c r="J100" s="82">
        <v>997.54</v>
      </c>
      <c r="K100" s="82">
        <v>1120.46</v>
      </c>
      <c r="L100" s="82">
        <v>1120.4000000000001</v>
      </c>
      <c r="M100" s="82">
        <v>1120.4000000000001</v>
      </c>
      <c r="N100" s="82">
        <v>1120.4000000000001</v>
      </c>
      <c r="O100" s="82">
        <v>1120.4000000000001</v>
      </c>
      <c r="P100" s="82">
        <v>1120.4000000000001</v>
      </c>
      <c r="Q100" s="82">
        <v>1120.4000000000001</v>
      </c>
      <c r="R100" s="82">
        <v>1120.4000000000001</v>
      </c>
      <c r="S100" s="23">
        <v>1120.4000000000001</v>
      </c>
      <c r="T100" s="23">
        <v>1120.4000000000001</v>
      </c>
      <c r="U100" s="23">
        <v>1120.4000000000001</v>
      </c>
      <c r="V100" s="79" t="s">
        <v>566</v>
      </c>
      <c r="W100" s="82">
        <f t="shared" si="19"/>
        <v>0</v>
      </c>
      <c r="X100" s="79"/>
      <c r="Y100" s="79"/>
      <c r="Z100" s="79"/>
      <c r="AA100" s="82">
        <v>0</v>
      </c>
      <c r="AB100" s="82"/>
      <c r="AC100" s="82"/>
      <c r="AD100" s="23"/>
      <c r="AE100" s="7" t="s">
        <v>394</v>
      </c>
      <c r="AH100" s="23">
        <f>SUM('2020 detail'!J100:U100)+'2020 detail'!AA100+'2020 detail'!AB100</f>
        <v>11937</v>
      </c>
      <c r="AJ100" s="23">
        <f t="shared" si="20"/>
        <v>1384.9999999999982</v>
      </c>
      <c r="AL100" t="str">
        <f t="shared" si="21"/>
        <v>Up</v>
      </c>
      <c r="AQ100" s="23">
        <v>1120.4000000000001</v>
      </c>
    </row>
    <row r="101" spans="1:43" x14ac:dyDescent="0.2">
      <c r="A101" s="144" t="s">
        <v>88</v>
      </c>
      <c r="B101" s="9" t="s">
        <v>495</v>
      </c>
      <c r="C101" s="9" t="s">
        <v>495</v>
      </c>
      <c r="D101" s="9">
        <v>0</v>
      </c>
      <c r="E101" s="9"/>
      <c r="F101" s="9">
        <v>0</v>
      </c>
      <c r="G101" s="83">
        <v>51935</v>
      </c>
      <c r="H101" s="83">
        <f t="shared" si="17"/>
        <v>51935</v>
      </c>
      <c r="I101" s="133">
        <f t="shared" si="22"/>
        <v>1</v>
      </c>
      <c r="J101" s="82">
        <v>0</v>
      </c>
      <c r="K101" s="82">
        <v>4500</v>
      </c>
      <c r="L101" s="82"/>
      <c r="M101" s="82">
        <v>13500</v>
      </c>
      <c r="N101" s="82"/>
      <c r="O101" s="82"/>
      <c r="P101" s="82">
        <v>13500</v>
      </c>
      <c r="Q101" s="82"/>
      <c r="R101" s="82">
        <v>9000</v>
      </c>
      <c r="S101" s="23">
        <v>4500</v>
      </c>
      <c r="T101" s="23">
        <v>6935</v>
      </c>
      <c r="U101" s="23"/>
      <c r="V101" s="79" t="s">
        <v>567</v>
      </c>
      <c r="W101" s="82">
        <f t="shared" si="19"/>
        <v>0</v>
      </c>
      <c r="X101" s="79"/>
      <c r="Y101" s="79"/>
      <c r="Z101" s="79"/>
      <c r="AA101" s="82">
        <v>0</v>
      </c>
      <c r="AB101" s="82"/>
      <c r="AC101" s="82"/>
      <c r="AD101" s="23"/>
      <c r="AE101" s="7" t="s">
        <v>396</v>
      </c>
      <c r="AH101" s="23">
        <f>SUM('2020 detail'!J101:U101)+'2020 detail'!AA101+'2020 detail'!AB101</f>
        <v>51935</v>
      </c>
      <c r="AJ101" s="23">
        <f t="shared" si="20"/>
        <v>0</v>
      </c>
      <c r="AL101" t="str">
        <f t="shared" si="21"/>
        <v>Same</v>
      </c>
    </row>
    <row r="102" spans="1:43" x14ac:dyDescent="0.2">
      <c r="A102" s="144" t="s">
        <v>89</v>
      </c>
      <c r="B102" s="9">
        <v>0</v>
      </c>
      <c r="C102" s="9">
        <v>0</v>
      </c>
      <c r="D102" s="9">
        <v>0</v>
      </c>
      <c r="E102" s="9"/>
      <c r="F102" s="9" t="s">
        <v>495</v>
      </c>
      <c r="G102" s="83">
        <v>0</v>
      </c>
      <c r="H102" s="83">
        <f t="shared" si="17"/>
        <v>0</v>
      </c>
      <c r="I102" s="133" t="e">
        <f t="shared" si="22"/>
        <v>#DIV/0!</v>
      </c>
      <c r="J102" s="82">
        <v>0</v>
      </c>
      <c r="K102" s="82"/>
      <c r="L102" s="82"/>
      <c r="M102" s="82"/>
      <c r="N102" s="82"/>
      <c r="O102" s="82"/>
      <c r="P102" s="82"/>
      <c r="Q102" s="82"/>
      <c r="R102" s="82"/>
      <c r="S102" s="23"/>
      <c r="T102" s="23"/>
      <c r="U102" s="23"/>
      <c r="V102" s="79" t="s">
        <v>568</v>
      </c>
      <c r="W102" s="82">
        <f t="shared" si="19"/>
        <v>0</v>
      </c>
      <c r="X102" s="79"/>
      <c r="Y102" s="79"/>
      <c r="Z102" s="79"/>
      <c r="AA102" s="82">
        <v>0</v>
      </c>
      <c r="AB102" s="82"/>
      <c r="AC102" s="82"/>
      <c r="AD102" s="23"/>
      <c r="AH102" s="23">
        <f>SUM('2020 detail'!J102:U102)+'2020 detail'!AA102+'2020 detail'!AB102</f>
        <v>0</v>
      </c>
      <c r="AJ102" s="23">
        <f t="shared" si="20"/>
        <v>0</v>
      </c>
      <c r="AL102" t="str">
        <f t="shared" si="21"/>
        <v>Same</v>
      </c>
    </row>
    <row r="103" spans="1:43" x14ac:dyDescent="0.2">
      <c r="A103" s="144" t="s">
        <v>90</v>
      </c>
      <c r="B103" s="9" t="s">
        <v>495</v>
      </c>
      <c r="C103" s="9">
        <v>0</v>
      </c>
      <c r="D103" s="9">
        <v>0</v>
      </c>
      <c r="E103" s="9"/>
      <c r="F103" s="9" t="s">
        <v>495</v>
      </c>
      <c r="G103" s="83">
        <v>22788</v>
      </c>
      <c r="H103" s="83">
        <f t="shared" si="17"/>
        <v>22788</v>
      </c>
      <c r="I103" s="133">
        <f t="shared" si="22"/>
        <v>1</v>
      </c>
      <c r="J103" s="82">
        <v>0</v>
      </c>
      <c r="K103" s="82">
        <v>5697</v>
      </c>
      <c r="L103" s="82"/>
      <c r="M103" s="82"/>
      <c r="N103" s="82">
        <v>3798</v>
      </c>
      <c r="O103" s="82"/>
      <c r="P103" s="82"/>
      <c r="Q103" s="82"/>
      <c r="R103" s="82">
        <v>7596</v>
      </c>
      <c r="S103" s="23"/>
      <c r="T103" s="23"/>
      <c r="U103" s="23">
        <v>5697</v>
      </c>
      <c r="V103" s="79" t="s">
        <v>569</v>
      </c>
      <c r="W103" s="82">
        <f t="shared" si="19"/>
        <v>0</v>
      </c>
      <c r="X103" s="79"/>
      <c r="Y103" s="79"/>
      <c r="Z103" s="79"/>
      <c r="AA103" s="82">
        <v>0</v>
      </c>
      <c r="AB103" s="82"/>
      <c r="AC103" s="82"/>
      <c r="AD103" s="23"/>
      <c r="AE103" s="7" t="s">
        <v>397</v>
      </c>
      <c r="AH103" s="23">
        <f>SUM('2020 detail'!J103:U103)+'2020 detail'!AA103+'2020 detail'!AB103</f>
        <v>22788</v>
      </c>
      <c r="AJ103" s="23">
        <f t="shared" si="20"/>
        <v>0</v>
      </c>
      <c r="AL103" t="str">
        <f t="shared" si="21"/>
        <v>Same</v>
      </c>
      <c r="AQ103" s="23">
        <v>5697</v>
      </c>
    </row>
    <row r="104" spans="1:43" x14ac:dyDescent="0.2">
      <c r="A104" s="144" t="s">
        <v>91</v>
      </c>
      <c r="B104" s="9" t="s">
        <v>495</v>
      </c>
      <c r="C104" s="9" t="s">
        <v>495</v>
      </c>
      <c r="D104" s="9" t="s">
        <v>495</v>
      </c>
      <c r="E104" s="9"/>
      <c r="F104" s="9">
        <v>0</v>
      </c>
      <c r="G104" s="83">
        <v>6833</v>
      </c>
      <c r="H104" s="83">
        <f t="shared" si="17"/>
        <v>6833</v>
      </c>
      <c r="I104" s="133">
        <f t="shared" si="22"/>
        <v>1</v>
      </c>
      <c r="J104" s="82">
        <v>680.8</v>
      </c>
      <c r="K104" s="82">
        <v>680.8</v>
      </c>
      <c r="L104" s="82">
        <v>683.96</v>
      </c>
      <c r="M104" s="82">
        <v>683.92</v>
      </c>
      <c r="N104" s="82">
        <v>683.92</v>
      </c>
      <c r="O104" s="82">
        <v>683.92</v>
      </c>
      <c r="P104" s="82">
        <v>683.92</v>
      </c>
      <c r="Q104" s="82">
        <v>683.92</v>
      </c>
      <c r="R104" s="82">
        <v>683.92</v>
      </c>
      <c r="S104" s="23">
        <v>683.92</v>
      </c>
      <c r="T104" s="23">
        <v>0</v>
      </c>
      <c r="U104" s="23">
        <v>0</v>
      </c>
      <c r="V104" s="79" t="s">
        <v>570</v>
      </c>
      <c r="W104" s="82">
        <f t="shared" si="19"/>
        <v>0</v>
      </c>
      <c r="X104" s="79"/>
      <c r="Y104" s="79"/>
      <c r="Z104" s="79"/>
      <c r="AA104" s="82">
        <v>0</v>
      </c>
      <c r="AB104" s="82"/>
      <c r="AC104" s="82"/>
      <c r="AD104" s="23"/>
      <c r="AE104" s="7" t="s">
        <v>398</v>
      </c>
      <c r="AH104" s="23">
        <f>SUM('2020 detail'!J104:U104)+'2020 detail'!AA104+'2020 detail'!AB104</f>
        <v>6808.0000000000009</v>
      </c>
      <c r="AJ104" s="23">
        <f t="shared" si="20"/>
        <v>24.999999999999091</v>
      </c>
      <c r="AL104" t="str">
        <f t="shared" si="21"/>
        <v>Up</v>
      </c>
      <c r="AQ104" s="23">
        <v>0</v>
      </c>
    </row>
    <row r="105" spans="1:43" x14ac:dyDescent="0.2">
      <c r="A105" s="144" t="s">
        <v>92</v>
      </c>
      <c r="B105" s="9">
        <v>0</v>
      </c>
      <c r="C105" s="9">
        <v>0</v>
      </c>
      <c r="D105" s="9">
        <v>0</v>
      </c>
      <c r="E105" s="9"/>
      <c r="F105" s="9" t="s">
        <v>495</v>
      </c>
      <c r="G105" s="83">
        <v>3387</v>
      </c>
      <c r="H105" s="83">
        <f t="shared" si="17"/>
        <v>3387</v>
      </c>
      <c r="I105" s="133">
        <f t="shared" si="22"/>
        <v>1</v>
      </c>
      <c r="J105" s="82">
        <v>282.25</v>
      </c>
      <c r="K105" s="82">
        <v>282.25</v>
      </c>
      <c r="L105" s="82">
        <v>282.25</v>
      </c>
      <c r="M105" s="82">
        <v>282.25</v>
      </c>
      <c r="N105" s="82">
        <v>282.25</v>
      </c>
      <c r="O105" s="82">
        <v>282.25</v>
      </c>
      <c r="P105" s="82">
        <v>282.25</v>
      </c>
      <c r="Q105" s="82">
        <v>282.25</v>
      </c>
      <c r="R105" s="82">
        <v>282.25</v>
      </c>
      <c r="S105" s="23">
        <v>282.25</v>
      </c>
      <c r="T105" s="23">
        <v>282.25</v>
      </c>
      <c r="U105" s="23">
        <v>282.25</v>
      </c>
      <c r="V105" s="79" t="s">
        <v>571</v>
      </c>
      <c r="W105" s="82">
        <f t="shared" si="19"/>
        <v>0</v>
      </c>
      <c r="X105" s="79"/>
      <c r="Y105" s="79"/>
      <c r="Z105" s="79"/>
      <c r="AA105" s="82">
        <v>0</v>
      </c>
      <c r="AB105" s="82"/>
      <c r="AC105" s="82"/>
      <c r="AD105" s="23"/>
      <c r="AE105" s="7" t="s">
        <v>397</v>
      </c>
      <c r="AH105" s="23">
        <f>SUM('2020 detail'!J105:U105)+'2020 detail'!AA105+'2020 detail'!AB105</f>
        <v>3387</v>
      </c>
      <c r="AJ105" s="23">
        <f t="shared" si="20"/>
        <v>0</v>
      </c>
      <c r="AL105" t="str">
        <f t="shared" si="21"/>
        <v>Same</v>
      </c>
      <c r="AQ105" s="23">
        <v>282.25</v>
      </c>
    </row>
    <row r="106" spans="1:43" x14ac:dyDescent="0.2">
      <c r="A106" s="144" t="s">
        <v>93</v>
      </c>
      <c r="B106" s="9" t="s">
        <v>495</v>
      </c>
      <c r="C106" s="9" t="s">
        <v>495</v>
      </c>
      <c r="D106" s="9" t="s">
        <v>495</v>
      </c>
      <c r="E106" s="9"/>
      <c r="F106" s="9">
        <v>0</v>
      </c>
      <c r="G106" s="83">
        <v>19582</v>
      </c>
      <c r="H106" s="83">
        <f t="shared" si="17"/>
        <v>15900</v>
      </c>
      <c r="I106" s="133">
        <f t="shared" si="22"/>
        <v>0.81200000000000006</v>
      </c>
      <c r="J106" s="82">
        <v>0</v>
      </c>
      <c r="K106" s="82"/>
      <c r="L106" s="82">
        <v>3200</v>
      </c>
      <c r="M106" s="82"/>
      <c r="N106" s="82">
        <v>3200</v>
      </c>
      <c r="O106" s="82"/>
      <c r="P106" s="82">
        <v>3200</v>
      </c>
      <c r="Q106" s="82">
        <v>1300</v>
      </c>
      <c r="R106" s="82"/>
      <c r="S106" s="23"/>
      <c r="T106" s="23">
        <v>5000</v>
      </c>
      <c r="U106" s="23"/>
      <c r="V106" s="79" t="s">
        <v>572</v>
      </c>
      <c r="W106" s="82">
        <f t="shared" si="19"/>
        <v>3682</v>
      </c>
      <c r="X106" s="79"/>
      <c r="Y106" s="79"/>
      <c r="Z106" s="79"/>
      <c r="AA106" s="82">
        <v>0</v>
      </c>
      <c r="AB106" s="82"/>
      <c r="AC106" s="82"/>
      <c r="AD106" s="23"/>
      <c r="AE106" s="7" t="s">
        <v>395</v>
      </c>
      <c r="AH106" s="23">
        <f>SUM('2020 detail'!J106:U106)+'2020 detail'!AA106+'2020 detail'!AB106</f>
        <v>19581</v>
      </c>
      <c r="AJ106" s="23">
        <f t="shared" si="20"/>
        <v>-3681</v>
      </c>
      <c r="AL106" t="str">
        <f t="shared" si="21"/>
        <v>Down</v>
      </c>
    </row>
    <row r="107" spans="1:43" x14ac:dyDescent="0.2">
      <c r="A107" s="144" t="s">
        <v>94</v>
      </c>
      <c r="B107" s="9" t="s">
        <v>495</v>
      </c>
      <c r="C107" s="9" t="s">
        <v>495</v>
      </c>
      <c r="D107" s="9" t="s">
        <v>495</v>
      </c>
      <c r="E107" s="9"/>
      <c r="F107" s="9">
        <v>0</v>
      </c>
      <c r="G107" s="83">
        <v>22788</v>
      </c>
      <c r="H107" s="83">
        <f t="shared" si="17"/>
        <v>22788</v>
      </c>
      <c r="I107" s="133">
        <f t="shared" si="22"/>
        <v>1</v>
      </c>
      <c r="J107" s="82">
        <v>1899</v>
      </c>
      <c r="K107" s="82">
        <v>1899</v>
      </c>
      <c r="L107" s="82">
        <v>1899</v>
      </c>
      <c r="M107" s="82">
        <v>1899</v>
      </c>
      <c r="N107" s="82">
        <v>1899</v>
      </c>
      <c r="O107" s="82">
        <v>1899</v>
      </c>
      <c r="P107" s="82">
        <v>1899</v>
      </c>
      <c r="Q107" s="82">
        <v>1899</v>
      </c>
      <c r="R107" s="82">
        <v>1899</v>
      </c>
      <c r="S107" s="23">
        <v>1899</v>
      </c>
      <c r="T107" s="23">
        <v>1899</v>
      </c>
      <c r="U107" s="23">
        <v>1899</v>
      </c>
      <c r="V107" s="79" t="s">
        <v>573</v>
      </c>
      <c r="W107" s="82">
        <f t="shared" si="19"/>
        <v>0</v>
      </c>
      <c r="X107" s="79"/>
      <c r="Y107" s="79"/>
      <c r="Z107" s="79"/>
      <c r="AA107" s="82">
        <v>0</v>
      </c>
      <c r="AB107" s="82"/>
      <c r="AC107" s="82"/>
      <c r="AD107" s="23"/>
      <c r="AE107" s="7" t="s">
        <v>397</v>
      </c>
      <c r="AH107" s="23">
        <f>SUM('2020 detail'!J107:U107)+'2020 detail'!AA107+'2020 detail'!AB107</f>
        <v>22788</v>
      </c>
      <c r="AJ107" s="23">
        <f t="shared" si="20"/>
        <v>0</v>
      </c>
      <c r="AL107" t="str">
        <f t="shared" si="21"/>
        <v>Same</v>
      </c>
      <c r="AQ107" s="23">
        <v>1899</v>
      </c>
    </row>
    <row r="108" spans="1:43" x14ac:dyDescent="0.2">
      <c r="A108" s="144" t="s">
        <v>95</v>
      </c>
      <c r="B108" s="9" t="s">
        <v>495</v>
      </c>
      <c r="C108" s="9" t="s">
        <v>495</v>
      </c>
      <c r="D108" s="9">
        <v>0</v>
      </c>
      <c r="E108" s="9"/>
      <c r="F108" s="9">
        <v>0</v>
      </c>
      <c r="G108" s="83">
        <v>12626</v>
      </c>
      <c r="H108" s="83">
        <f t="shared" si="17"/>
        <v>4500</v>
      </c>
      <c r="I108" s="133">
        <f t="shared" si="22"/>
        <v>0.35639999999999999</v>
      </c>
      <c r="J108" s="82">
        <v>0</v>
      </c>
      <c r="K108" s="82"/>
      <c r="L108" s="82"/>
      <c r="M108" s="82"/>
      <c r="N108" s="82"/>
      <c r="O108" s="82"/>
      <c r="P108" s="82"/>
      <c r="Q108" s="82"/>
      <c r="R108" s="82"/>
      <c r="S108" s="23"/>
      <c r="T108" s="23"/>
      <c r="U108" s="23">
        <v>4500</v>
      </c>
      <c r="V108" s="79" t="s">
        <v>574</v>
      </c>
      <c r="W108" s="82">
        <f t="shared" si="19"/>
        <v>8126</v>
      </c>
      <c r="X108" s="79"/>
      <c r="Y108" s="79"/>
      <c r="Z108" s="79"/>
      <c r="AA108" s="82">
        <v>0</v>
      </c>
      <c r="AB108" s="82"/>
      <c r="AC108" s="82"/>
      <c r="AD108" s="23"/>
      <c r="AE108" s="7" t="s">
        <v>397</v>
      </c>
      <c r="AH108" s="23">
        <f>SUM('2020 detail'!J108:U108)+'2020 detail'!AA108+'2020 detail'!AB108</f>
        <v>4250</v>
      </c>
      <c r="AJ108" s="23">
        <f t="shared" si="20"/>
        <v>250</v>
      </c>
      <c r="AL108" t="str">
        <f t="shared" si="21"/>
        <v>Up</v>
      </c>
      <c r="AQ108" s="23">
        <v>4500</v>
      </c>
    </row>
    <row r="109" spans="1:43" x14ac:dyDescent="0.2">
      <c r="A109" s="144" t="s">
        <v>96</v>
      </c>
      <c r="B109" s="9" t="s">
        <v>495</v>
      </c>
      <c r="C109" s="9" t="s">
        <v>495</v>
      </c>
      <c r="D109" s="9" t="s">
        <v>495</v>
      </c>
      <c r="E109" s="9"/>
      <c r="F109" s="9" t="s">
        <v>495</v>
      </c>
      <c r="G109" s="83">
        <v>12562</v>
      </c>
      <c r="H109" s="83">
        <f t="shared" si="17"/>
        <v>6281</v>
      </c>
      <c r="I109" s="133">
        <f t="shared" si="22"/>
        <v>0.5</v>
      </c>
      <c r="J109" s="82">
        <v>0</v>
      </c>
      <c r="K109" s="82"/>
      <c r="L109" s="82"/>
      <c r="M109" s="82"/>
      <c r="N109" s="82"/>
      <c r="O109" s="82"/>
      <c r="P109" s="82"/>
      <c r="Q109" s="82"/>
      <c r="R109" s="82"/>
      <c r="S109" s="23">
        <v>6281</v>
      </c>
      <c r="T109" s="23"/>
      <c r="U109" s="23"/>
      <c r="V109" s="79" t="s">
        <v>575</v>
      </c>
      <c r="W109" s="82">
        <f t="shared" si="19"/>
        <v>6281</v>
      </c>
      <c r="X109" s="79"/>
      <c r="Y109" s="79"/>
      <c r="Z109" s="79"/>
      <c r="AA109" s="82">
        <v>0</v>
      </c>
      <c r="AB109" s="82"/>
      <c r="AC109" s="82"/>
      <c r="AD109" s="23"/>
      <c r="AE109" s="7" t="s">
        <v>395</v>
      </c>
      <c r="AH109" s="23">
        <f>SUM('2020 detail'!J109:U109)+'2020 detail'!AA109+'2020 detail'!AB109</f>
        <v>6281</v>
      </c>
      <c r="AJ109" s="23">
        <f t="shared" si="20"/>
        <v>0</v>
      </c>
      <c r="AL109" t="str">
        <f t="shared" si="21"/>
        <v>Same</v>
      </c>
    </row>
    <row r="110" spans="1:43" x14ac:dyDescent="0.2">
      <c r="A110" s="144" t="s">
        <v>97</v>
      </c>
      <c r="B110" s="9">
        <v>0</v>
      </c>
      <c r="C110" s="9" t="s">
        <v>495</v>
      </c>
      <c r="D110" s="9">
        <v>0</v>
      </c>
      <c r="E110" s="9"/>
      <c r="F110" s="9">
        <v>0</v>
      </c>
      <c r="G110" s="83">
        <v>8128</v>
      </c>
      <c r="H110" s="83">
        <f t="shared" si="17"/>
        <v>8128</v>
      </c>
      <c r="I110" s="133">
        <f t="shared" si="22"/>
        <v>1</v>
      </c>
      <c r="J110" s="82">
        <v>300</v>
      </c>
      <c r="K110" s="82">
        <v>300</v>
      </c>
      <c r="L110" s="82">
        <v>300</v>
      </c>
      <c r="M110" s="82">
        <v>300</v>
      </c>
      <c r="N110" s="82">
        <v>300</v>
      </c>
      <c r="O110" s="82">
        <v>300</v>
      </c>
      <c r="P110" s="82">
        <v>300</v>
      </c>
      <c r="Q110" s="82">
        <v>300</v>
      </c>
      <c r="R110" s="82">
        <v>300</v>
      </c>
      <c r="S110" s="23">
        <v>300</v>
      </c>
      <c r="T110" s="23">
        <v>300</v>
      </c>
      <c r="U110" s="23">
        <v>4828</v>
      </c>
      <c r="V110" s="79" t="s">
        <v>576</v>
      </c>
      <c r="W110" s="82">
        <f t="shared" si="19"/>
        <v>0</v>
      </c>
      <c r="X110" s="79"/>
      <c r="Y110" s="79"/>
      <c r="Z110" s="79"/>
      <c r="AA110" s="82">
        <v>0</v>
      </c>
      <c r="AB110" s="82"/>
      <c r="AC110" s="82"/>
      <c r="AD110" s="23"/>
      <c r="AE110" s="7" t="s">
        <v>395</v>
      </c>
      <c r="AH110" s="23">
        <f>SUM('2020 detail'!J110:U110)+'2020 detail'!AA110+'2020 detail'!AB110</f>
        <v>8012</v>
      </c>
      <c r="AJ110" s="23">
        <f t="shared" si="20"/>
        <v>116</v>
      </c>
      <c r="AL110" t="str">
        <f t="shared" si="21"/>
        <v>Up</v>
      </c>
      <c r="AQ110" s="23">
        <v>4828</v>
      </c>
    </row>
    <row r="111" spans="1:43" x14ac:dyDescent="0.2">
      <c r="A111" s="144" t="s">
        <v>98</v>
      </c>
      <c r="B111" s="9" t="s">
        <v>495</v>
      </c>
      <c r="C111" s="9" t="s">
        <v>495</v>
      </c>
      <c r="D111" s="9" t="s">
        <v>495</v>
      </c>
      <c r="E111" s="9"/>
      <c r="F111" s="9" t="s">
        <v>495</v>
      </c>
      <c r="G111" s="83">
        <v>11160</v>
      </c>
      <c r="H111" s="83">
        <f t="shared" si="17"/>
        <v>1860</v>
      </c>
      <c r="I111" s="133">
        <f t="shared" si="22"/>
        <v>0.16669999999999999</v>
      </c>
      <c r="J111" s="82">
        <v>930</v>
      </c>
      <c r="K111" s="82">
        <v>930</v>
      </c>
      <c r="L111" s="82"/>
      <c r="M111" s="82"/>
      <c r="N111" s="82"/>
      <c r="O111" s="82"/>
      <c r="P111" s="82"/>
      <c r="Q111" s="82"/>
      <c r="R111" s="82"/>
      <c r="S111" s="23"/>
      <c r="T111" s="23"/>
      <c r="U111" s="23"/>
      <c r="V111" s="79" t="s">
        <v>577</v>
      </c>
      <c r="W111" s="82">
        <f t="shared" si="19"/>
        <v>9300</v>
      </c>
      <c r="X111" s="79"/>
      <c r="Y111" s="79"/>
      <c r="Z111" s="79"/>
      <c r="AA111" s="82">
        <v>0</v>
      </c>
      <c r="AB111" s="82"/>
      <c r="AC111" s="82"/>
      <c r="AD111" s="23"/>
      <c r="AE111" s="7" t="s">
        <v>1201</v>
      </c>
      <c r="AH111" s="23">
        <f>SUM('2020 detail'!J111:U111)+'2020 detail'!AA111+'2020 detail'!AB111</f>
        <v>11160.000000000004</v>
      </c>
      <c r="AJ111" s="23">
        <f t="shared" si="20"/>
        <v>-9300.0000000000036</v>
      </c>
      <c r="AL111" t="str">
        <f t="shared" si="21"/>
        <v>Down</v>
      </c>
    </row>
    <row r="112" spans="1:43" x14ac:dyDescent="0.2">
      <c r="A112" s="144" t="s">
        <v>99</v>
      </c>
      <c r="B112" s="9" t="s">
        <v>495</v>
      </c>
      <c r="C112" s="9" t="s">
        <v>495</v>
      </c>
      <c r="D112" s="9" t="s">
        <v>495</v>
      </c>
      <c r="E112" s="9"/>
      <c r="F112" s="9" t="s">
        <v>495</v>
      </c>
      <c r="G112" s="83">
        <v>8024</v>
      </c>
      <c r="H112" s="83">
        <f t="shared" si="17"/>
        <v>2006</v>
      </c>
      <c r="I112" s="133">
        <f t="shared" si="22"/>
        <v>0.25</v>
      </c>
      <c r="J112" s="82">
        <v>0</v>
      </c>
      <c r="K112" s="82"/>
      <c r="L112" s="82"/>
      <c r="M112" s="82"/>
      <c r="N112" s="82">
        <v>2006</v>
      </c>
      <c r="O112" s="82"/>
      <c r="P112" s="82"/>
      <c r="Q112" s="82"/>
      <c r="R112" s="82"/>
      <c r="S112" s="23"/>
      <c r="T112" s="23"/>
      <c r="U112" s="23"/>
      <c r="V112" s="79" t="s">
        <v>578</v>
      </c>
      <c r="W112" s="82">
        <f t="shared" si="19"/>
        <v>6018</v>
      </c>
      <c r="X112" s="79"/>
      <c r="Y112" s="79"/>
      <c r="Z112" s="79"/>
      <c r="AA112" s="82">
        <v>0</v>
      </c>
      <c r="AB112" s="82"/>
      <c r="AC112" s="82"/>
      <c r="AD112" s="23"/>
      <c r="AE112" s="7" t="s">
        <v>1201</v>
      </c>
      <c r="AH112" s="23">
        <f>SUM('2020 detail'!J112:U112)+'2020 detail'!AA112+'2020 detail'!AB112</f>
        <v>2000</v>
      </c>
      <c r="AJ112" s="23">
        <f t="shared" si="20"/>
        <v>6</v>
      </c>
      <c r="AL112" t="str">
        <f t="shared" si="21"/>
        <v>Up</v>
      </c>
    </row>
    <row r="113" spans="1:43" x14ac:dyDescent="0.2">
      <c r="A113" s="144" t="s">
        <v>100</v>
      </c>
      <c r="B113" s="9" t="s">
        <v>495</v>
      </c>
      <c r="C113" s="9" t="s">
        <v>495</v>
      </c>
      <c r="D113" s="9">
        <v>0</v>
      </c>
      <c r="E113" s="9"/>
      <c r="F113" s="9" t="s">
        <v>495</v>
      </c>
      <c r="G113" s="83">
        <v>4054</v>
      </c>
      <c r="H113" s="83">
        <f t="shared" si="17"/>
        <v>4053.9999999999995</v>
      </c>
      <c r="I113" s="133">
        <f t="shared" si="22"/>
        <v>1</v>
      </c>
      <c r="J113" s="82">
        <v>337.87</v>
      </c>
      <c r="K113" s="82">
        <v>337.83</v>
      </c>
      <c r="L113" s="82">
        <v>337.83</v>
      </c>
      <c r="M113" s="82">
        <v>337.83</v>
      </c>
      <c r="N113" s="82">
        <v>337.83</v>
      </c>
      <c r="O113" s="82">
        <v>337.83</v>
      </c>
      <c r="P113" s="82">
        <v>337.83</v>
      </c>
      <c r="Q113" s="82">
        <v>337.83</v>
      </c>
      <c r="R113" s="82">
        <v>337.83</v>
      </c>
      <c r="S113" s="23">
        <v>337.83</v>
      </c>
      <c r="T113" s="23">
        <v>337.83</v>
      </c>
      <c r="U113" s="23">
        <v>337.83</v>
      </c>
      <c r="V113" s="79" t="s">
        <v>579</v>
      </c>
      <c r="W113" s="82">
        <f t="shared" si="19"/>
        <v>0</v>
      </c>
      <c r="X113" s="79"/>
      <c r="Y113" s="79"/>
      <c r="Z113" s="79"/>
      <c r="AA113" s="82">
        <v>0</v>
      </c>
      <c r="AB113" s="82"/>
      <c r="AC113" s="82"/>
      <c r="AD113" s="23"/>
      <c r="AE113" s="7" t="s">
        <v>1201</v>
      </c>
      <c r="AH113" s="23">
        <f>SUM('2020 detail'!J113:U113)+'2020 detail'!AA113+'2020 detail'!AB113</f>
        <v>4053.9999999999991</v>
      </c>
      <c r="AJ113" s="23">
        <f t="shared" si="20"/>
        <v>0</v>
      </c>
      <c r="AL113" t="str">
        <f t="shared" si="21"/>
        <v>Same</v>
      </c>
      <c r="AQ113" s="23">
        <v>337.83</v>
      </c>
    </row>
    <row r="114" spans="1:43" x14ac:dyDescent="0.2">
      <c r="A114" s="144" t="s">
        <v>101</v>
      </c>
      <c r="B114" s="9" t="s">
        <v>495</v>
      </c>
      <c r="C114" s="9">
        <v>0</v>
      </c>
      <c r="D114" s="9">
        <v>0</v>
      </c>
      <c r="E114" s="9"/>
      <c r="F114" s="9">
        <v>0</v>
      </c>
      <c r="G114" s="83">
        <v>13666</v>
      </c>
      <c r="H114" s="83">
        <f t="shared" si="17"/>
        <v>13600</v>
      </c>
      <c r="I114" s="133">
        <f t="shared" si="22"/>
        <v>0.99519999999999997</v>
      </c>
      <c r="J114" s="82">
        <v>1700</v>
      </c>
      <c r="K114" s="82">
        <v>1700</v>
      </c>
      <c r="L114" s="82"/>
      <c r="M114" s="82"/>
      <c r="N114" s="82"/>
      <c r="O114" s="82"/>
      <c r="P114" s="82">
        <v>1700</v>
      </c>
      <c r="Q114" s="82">
        <v>1700</v>
      </c>
      <c r="R114" s="82">
        <v>1700</v>
      </c>
      <c r="S114" s="23">
        <v>1700</v>
      </c>
      <c r="T114" s="23">
        <v>1700</v>
      </c>
      <c r="U114" s="23">
        <v>1700</v>
      </c>
      <c r="V114" s="79" t="s">
        <v>580</v>
      </c>
      <c r="W114" s="82">
        <f t="shared" si="19"/>
        <v>66</v>
      </c>
      <c r="X114" s="79"/>
      <c r="Y114" s="79"/>
      <c r="Z114" s="79"/>
      <c r="AA114" s="82">
        <v>0</v>
      </c>
      <c r="AB114" s="82"/>
      <c r="AC114" s="82"/>
      <c r="AD114" s="23"/>
      <c r="AE114" s="7" t="s">
        <v>398</v>
      </c>
      <c r="AH114" s="23">
        <f>SUM('2020 detail'!J114:U114)+'2020 detail'!AA114+'2020 detail'!AB114</f>
        <v>13612.02</v>
      </c>
      <c r="AJ114" s="23">
        <f t="shared" si="20"/>
        <v>-12.020000000000437</v>
      </c>
      <c r="AL114" t="str">
        <f t="shared" si="21"/>
        <v>Down</v>
      </c>
      <c r="AQ114" s="23">
        <v>1700</v>
      </c>
    </row>
    <row r="115" spans="1:43" x14ac:dyDescent="0.2">
      <c r="A115" s="144" t="s">
        <v>102</v>
      </c>
      <c r="B115" s="9" t="s">
        <v>495</v>
      </c>
      <c r="C115" s="9" t="s">
        <v>495</v>
      </c>
      <c r="D115" s="9">
        <v>0</v>
      </c>
      <c r="E115" s="9"/>
      <c r="F115" s="9">
        <v>0</v>
      </c>
      <c r="G115" s="83">
        <v>6833</v>
      </c>
      <c r="H115" s="83">
        <f t="shared" si="17"/>
        <v>6833</v>
      </c>
      <c r="I115" s="133">
        <f t="shared" si="22"/>
        <v>1</v>
      </c>
      <c r="J115" s="82">
        <v>0</v>
      </c>
      <c r="K115" s="82"/>
      <c r="L115" s="82"/>
      <c r="M115" s="82"/>
      <c r="N115" s="82"/>
      <c r="O115" s="82"/>
      <c r="P115" s="82"/>
      <c r="Q115" s="82"/>
      <c r="R115" s="82"/>
      <c r="S115" s="23"/>
      <c r="T115" s="23"/>
      <c r="U115" s="23">
        <v>6833</v>
      </c>
      <c r="V115" s="79" t="s">
        <v>581</v>
      </c>
      <c r="W115" s="82">
        <f t="shared" si="19"/>
        <v>0</v>
      </c>
      <c r="X115" s="79"/>
      <c r="Y115" s="79"/>
      <c r="Z115" s="79"/>
      <c r="AA115" s="82">
        <v>0</v>
      </c>
      <c r="AB115" s="82"/>
      <c r="AC115" s="82"/>
      <c r="AD115" s="23"/>
      <c r="AE115" s="7" t="s">
        <v>398</v>
      </c>
      <c r="AH115" s="23">
        <f>SUM('2020 detail'!J115:U115)+'2020 detail'!AA115+'2020 detail'!AB115</f>
        <v>6808</v>
      </c>
      <c r="AJ115" s="23">
        <f t="shared" si="20"/>
        <v>25</v>
      </c>
      <c r="AL115" t="str">
        <f t="shared" si="21"/>
        <v>Up</v>
      </c>
      <c r="AQ115" s="23">
        <v>6833</v>
      </c>
    </row>
    <row r="116" spans="1:43" x14ac:dyDescent="0.2">
      <c r="A116" s="144" t="s">
        <v>103</v>
      </c>
      <c r="B116" s="9" t="s">
        <v>495</v>
      </c>
      <c r="C116" s="9">
        <v>0</v>
      </c>
      <c r="D116" s="9" t="s">
        <v>495</v>
      </c>
      <c r="E116" s="9"/>
      <c r="F116" s="9">
        <v>0</v>
      </c>
      <c r="G116" s="83">
        <v>22773</v>
      </c>
      <c r="H116" s="83">
        <f t="shared" si="17"/>
        <v>16136.5</v>
      </c>
      <c r="I116" s="133">
        <f t="shared" si="22"/>
        <v>0.70860000000000001</v>
      </c>
      <c r="J116" s="82">
        <v>0</v>
      </c>
      <c r="K116" s="82">
        <v>3795.5</v>
      </c>
      <c r="L116" s="82"/>
      <c r="M116" s="82">
        <v>3795.5</v>
      </c>
      <c r="N116" s="82"/>
      <c r="O116" s="82"/>
      <c r="P116" s="82">
        <v>3795.5</v>
      </c>
      <c r="Q116" s="82"/>
      <c r="R116" s="82"/>
      <c r="S116" s="23"/>
      <c r="T116" s="23"/>
      <c r="U116" s="23">
        <v>4750</v>
      </c>
      <c r="V116" s="79" t="s">
        <v>582</v>
      </c>
      <c r="W116" s="82">
        <f t="shared" si="19"/>
        <v>6636.5</v>
      </c>
      <c r="X116" s="79"/>
      <c r="Y116" s="79"/>
      <c r="Z116" s="79"/>
      <c r="AA116" s="82">
        <v>0</v>
      </c>
      <c r="AB116" s="82"/>
      <c r="AC116" s="82"/>
      <c r="AD116" s="23"/>
      <c r="AE116" s="7" t="s">
        <v>1199</v>
      </c>
      <c r="AH116" s="23">
        <f>SUM('2020 detail'!J116:U116)+'2020 detail'!AA116+'2020 detail'!AB116</f>
        <v>22772</v>
      </c>
      <c r="AJ116" s="23">
        <f t="shared" si="20"/>
        <v>-6635.5</v>
      </c>
      <c r="AL116" t="str">
        <f t="shared" si="21"/>
        <v>Down</v>
      </c>
      <c r="AQ116" s="23">
        <v>4750</v>
      </c>
    </row>
    <row r="117" spans="1:43" x14ac:dyDescent="0.2">
      <c r="A117" s="144" t="s">
        <v>104</v>
      </c>
      <c r="B117" s="9" t="s">
        <v>495</v>
      </c>
      <c r="C117" s="9" t="s">
        <v>495</v>
      </c>
      <c r="D117" s="9">
        <v>0</v>
      </c>
      <c r="E117" s="9"/>
      <c r="F117" s="9">
        <v>0</v>
      </c>
      <c r="G117" s="83">
        <v>5000</v>
      </c>
      <c r="H117" s="83">
        <f t="shared" si="17"/>
        <v>4565</v>
      </c>
      <c r="I117" s="133">
        <f t="shared" si="22"/>
        <v>0.91300000000000003</v>
      </c>
      <c r="J117" s="82">
        <v>0</v>
      </c>
      <c r="K117" s="82">
        <v>415</v>
      </c>
      <c r="L117" s="82">
        <v>415</v>
      </c>
      <c r="M117" s="82"/>
      <c r="N117" s="82">
        <v>830</v>
      </c>
      <c r="O117" s="82">
        <v>415</v>
      </c>
      <c r="P117" s="82">
        <v>415</v>
      </c>
      <c r="Q117" s="82">
        <v>415</v>
      </c>
      <c r="R117" s="82"/>
      <c r="S117" s="23">
        <v>415</v>
      </c>
      <c r="T117" s="23">
        <v>415</v>
      </c>
      <c r="U117" s="23">
        <v>830</v>
      </c>
      <c r="V117" s="79" t="s">
        <v>583</v>
      </c>
      <c r="W117" s="82">
        <f t="shared" si="19"/>
        <v>435</v>
      </c>
      <c r="X117" s="79"/>
      <c r="Y117" s="79"/>
      <c r="Z117" s="79"/>
      <c r="AA117" s="82">
        <v>0</v>
      </c>
      <c r="AB117" s="82"/>
      <c r="AC117" s="82"/>
      <c r="AD117" s="23"/>
      <c r="AE117" s="7" t="s">
        <v>1199</v>
      </c>
      <c r="AH117" s="23">
        <f>SUM('2020 detail'!J117:U117)+'2020 detail'!AA117+'2020 detail'!AB117</f>
        <v>3415</v>
      </c>
      <c r="AJ117" s="23">
        <f t="shared" si="20"/>
        <v>1150</v>
      </c>
      <c r="AL117" t="str">
        <f t="shared" si="21"/>
        <v>Up</v>
      </c>
      <c r="AQ117" s="23">
        <v>830</v>
      </c>
    </row>
    <row r="118" spans="1:43" x14ac:dyDescent="0.2">
      <c r="G118" s="83"/>
      <c r="I118" s="133"/>
      <c r="X118" s="79"/>
      <c r="AA118" s="82"/>
      <c r="AB118" s="82"/>
      <c r="AC118" s="82"/>
      <c r="AD118" s="23"/>
      <c r="AJ118" s="23"/>
    </row>
    <row r="119" spans="1:43" x14ac:dyDescent="0.2">
      <c r="A119" s="235" t="s">
        <v>1056</v>
      </c>
      <c r="G119" s="83">
        <f t="shared" ref="G119:T119" si="23">SUM(G91:G118)</f>
        <v>432074</v>
      </c>
      <c r="H119" s="83">
        <f t="shared" si="23"/>
        <v>330736.88</v>
      </c>
      <c r="I119" s="133">
        <f t="shared" ref="I119:I120" si="24">ROUND((H119/G119),4)</f>
        <v>0.76549999999999996</v>
      </c>
      <c r="J119" s="83">
        <f t="shared" si="23"/>
        <v>13472.95</v>
      </c>
      <c r="K119" s="83">
        <f t="shared" si="23"/>
        <v>30003.25</v>
      </c>
      <c r="L119" s="83">
        <f t="shared" si="23"/>
        <v>16928.7</v>
      </c>
      <c r="M119" s="83">
        <f t="shared" si="23"/>
        <v>35035.160000000003</v>
      </c>
      <c r="N119" s="83">
        <f t="shared" si="23"/>
        <v>20802.810000000001</v>
      </c>
      <c r="O119" s="83">
        <f t="shared" si="23"/>
        <v>11383.81</v>
      </c>
      <c r="P119" s="83">
        <f t="shared" si="23"/>
        <v>36673.31</v>
      </c>
      <c r="Q119" s="83">
        <f t="shared" si="23"/>
        <v>23696.66</v>
      </c>
      <c r="R119" s="83">
        <f t="shared" si="23"/>
        <v>32670.809999999998</v>
      </c>
      <c r="S119" s="4">
        <f t="shared" si="23"/>
        <v>29930.66</v>
      </c>
      <c r="T119" s="4">
        <f t="shared" si="23"/>
        <v>25076.39</v>
      </c>
      <c r="U119" s="4">
        <f>SUM(U91:U118)</f>
        <v>55062.37</v>
      </c>
      <c r="V119" s="77"/>
      <c r="W119" s="82">
        <f>SUM(W91:W118)</f>
        <v>101337.12</v>
      </c>
      <c r="X119" s="79"/>
      <c r="Y119" s="77"/>
      <c r="Z119" s="77"/>
      <c r="AA119" s="83">
        <f>SUM(AA91:AA118)</f>
        <v>0</v>
      </c>
      <c r="AB119" s="83">
        <f t="shared" ref="AB119:AC119" si="25">SUM(AB91:AB118)</f>
        <v>0</v>
      </c>
      <c r="AC119" s="83">
        <f t="shared" si="25"/>
        <v>0</v>
      </c>
      <c r="AD119" s="4"/>
      <c r="AH119" s="23">
        <f>SUM(AH91:AH118)</f>
        <v>355477.88</v>
      </c>
      <c r="AJ119" s="23">
        <f t="shared" si="20"/>
        <v>-24741</v>
      </c>
      <c r="AM119" s="11">
        <f>SUM(J119:R119)+SUM(S120:U120)+SUM('2020 detail'!AA118:AC118)</f>
        <v>332429.09999999998</v>
      </c>
      <c r="AN119" s="24">
        <f>ROUND((AM119/G119),4)</f>
        <v>0.76939999999999997</v>
      </c>
      <c r="AO119" s="24">
        <f>ROUND((SUM(J120:U120)/G120),4)</f>
        <v>0.81840000000000002</v>
      </c>
      <c r="AQ119" s="23">
        <f>SUM(AQ91:AQ118)</f>
        <v>55062.37</v>
      </c>
    </row>
    <row r="120" spans="1:43" x14ac:dyDescent="0.2">
      <c r="A120" s="236" t="s">
        <v>1057</v>
      </c>
      <c r="G120" s="206">
        <f>'2020 detail'!G119</f>
        <v>431974</v>
      </c>
      <c r="H120" s="206">
        <f>SUM(J120:AC120)</f>
        <v>355477.87999999995</v>
      </c>
      <c r="I120" s="207">
        <f t="shared" si="24"/>
        <v>0.82289999999999996</v>
      </c>
      <c r="J120" s="206">
        <f>'2020 detail'!J119</f>
        <v>26266.5</v>
      </c>
      <c r="K120" s="206">
        <f>'2020 detail'!K119</f>
        <v>22619.559999999998</v>
      </c>
      <c r="L120" s="206">
        <f>'2020 detail'!L119</f>
        <v>24780.53</v>
      </c>
      <c r="M120" s="206">
        <f>'2020 detail'!M119</f>
        <v>23940.199999999997</v>
      </c>
      <c r="N120" s="206">
        <f>'2020 detail'!N119</f>
        <v>32863.69</v>
      </c>
      <c r="O120" s="206">
        <f>'2020 detail'!O119</f>
        <v>33737.69</v>
      </c>
      <c r="P120" s="206">
        <f>'2020 detail'!P119</f>
        <v>18859.740000000002</v>
      </c>
      <c r="Q120" s="206">
        <f>'2020 detail'!Q119</f>
        <v>29829.739999999998</v>
      </c>
      <c r="R120" s="206">
        <f>'2020 detail'!R119</f>
        <v>28862.59</v>
      </c>
      <c r="S120" s="165">
        <f>'2020 detail'!S119</f>
        <v>28169.749999999996</v>
      </c>
      <c r="T120" s="165">
        <f>'2020 detail'!T119</f>
        <v>35311.94</v>
      </c>
      <c r="U120" s="165">
        <f>'2020 detail'!U119</f>
        <v>48279.950000000004</v>
      </c>
      <c r="X120" s="79"/>
      <c r="AA120" s="165">
        <f>'2020 detail'!AA119</f>
        <v>1956</v>
      </c>
      <c r="AB120" s="165">
        <f>'2020 detail'!AB119</f>
        <v>0</v>
      </c>
      <c r="AC120" s="165">
        <f>'2020 detail'!AC119</f>
        <v>0</v>
      </c>
      <c r="AD120" s="23"/>
      <c r="AJ120" s="23"/>
    </row>
    <row r="121" spans="1:43" x14ac:dyDescent="0.2">
      <c r="X121" s="79"/>
      <c r="AJ121" s="23"/>
    </row>
    <row r="122" spans="1:43" ht="15.75" x14ac:dyDescent="0.25">
      <c r="G122" s="196" t="s">
        <v>9</v>
      </c>
      <c r="X122" s="79"/>
      <c r="AH122" s="171" t="s">
        <v>1067</v>
      </c>
      <c r="AI122" s="172"/>
      <c r="AJ122" s="171" t="s">
        <v>1064</v>
      </c>
    </row>
    <row r="123" spans="1:43" x14ac:dyDescent="0.2">
      <c r="X123" s="79"/>
      <c r="AH123" s="171" t="s">
        <v>1096</v>
      </c>
      <c r="AI123" s="172"/>
      <c r="AJ123" s="171" t="s">
        <v>1065</v>
      </c>
    </row>
    <row r="124" spans="1:43" ht="16.5" x14ac:dyDescent="0.25">
      <c r="A124" s="6"/>
      <c r="B124" s="8"/>
      <c r="C124" s="8"/>
      <c r="E124" s="8"/>
      <c r="F124" s="8"/>
      <c r="G124" s="208" t="str">
        <f>$G$3</f>
        <v>2021 PARISH SHARE INFORMATION AS AT 22 FEBRUARY 2022</v>
      </c>
      <c r="H124" s="209"/>
      <c r="W124" s="194"/>
      <c r="X124"/>
      <c r="Y124"/>
      <c r="Z124"/>
      <c r="AA124"/>
      <c r="AB124"/>
      <c r="AC124"/>
      <c r="AH124" s="172"/>
      <c r="AI124" s="172"/>
      <c r="AJ124" s="171" t="s">
        <v>1066</v>
      </c>
    </row>
    <row r="125" spans="1:43" x14ac:dyDescent="0.2">
      <c r="A125" s="6"/>
      <c r="G125" s="205"/>
      <c r="H125" s="197"/>
      <c r="W125" s="194"/>
      <c r="X125"/>
      <c r="Y125"/>
      <c r="Z125"/>
      <c r="AA125"/>
      <c r="AB125"/>
      <c r="AC125"/>
      <c r="AJ125" s="23"/>
    </row>
    <row r="126" spans="1:43" ht="16.5" x14ac:dyDescent="0.25">
      <c r="A126" s="204" t="s">
        <v>1</v>
      </c>
      <c r="B126" s="151" t="str">
        <f>$B$5</f>
        <v>RM</v>
      </c>
      <c r="C126" s="151" t="str">
        <f>$C$5</f>
        <v>RF</v>
      </c>
      <c r="D126" s="151" t="str">
        <f>$D$5</f>
        <v>Accts</v>
      </c>
      <c r="E126" s="151"/>
      <c r="F126" s="151" t="str">
        <f>$F$5</f>
        <v>Share DD</v>
      </c>
      <c r="G126" s="210" t="str">
        <f>$G$5</f>
        <v xml:space="preserve">2021 Share </v>
      </c>
      <c r="H126" s="211" t="str">
        <f>$H$5</f>
        <v xml:space="preserve">2021 Paid </v>
      </c>
      <c r="I126" s="211" t="str">
        <f>$I$5</f>
        <v xml:space="preserve">% Paid </v>
      </c>
      <c r="J126" s="212">
        <f>$J$5</f>
        <v>44227</v>
      </c>
      <c r="K126" s="212">
        <f>$K$5</f>
        <v>44255</v>
      </c>
      <c r="L126" s="212">
        <f>$L$5</f>
        <v>44286</v>
      </c>
      <c r="M126" s="212">
        <f>$M$5</f>
        <v>44316</v>
      </c>
      <c r="N126" s="212">
        <f>$N$5</f>
        <v>44347</v>
      </c>
      <c r="O126" s="212">
        <f>$O$5</f>
        <v>44377</v>
      </c>
      <c r="P126" s="212">
        <f>$P$5</f>
        <v>44408</v>
      </c>
      <c r="Q126" s="212">
        <f>$Q$5</f>
        <v>44439</v>
      </c>
      <c r="R126" s="212">
        <f>$R$5</f>
        <v>44469</v>
      </c>
      <c r="S126" s="155">
        <f>$S$5</f>
        <v>44500</v>
      </c>
      <c r="T126" s="155">
        <f>$T$5</f>
        <v>44530</v>
      </c>
      <c r="U126" s="155">
        <f>$U$5</f>
        <v>44561</v>
      </c>
      <c r="V126" s="78"/>
      <c r="W126" s="195" t="str">
        <f>$W$5</f>
        <v xml:space="preserve">Outstanding </v>
      </c>
      <c r="X126" s="2"/>
      <c r="Y126" s="2"/>
      <c r="Z126" s="2"/>
      <c r="AA126" s="2">
        <f>$AA$5</f>
        <v>44592</v>
      </c>
      <c r="AB126" s="2">
        <f>$AB$5</f>
        <v>44620</v>
      </c>
      <c r="AC126" s="2">
        <f>$AC$5</f>
        <v>44651</v>
      </c>
      <c r="AE126" s="152" t="str">
        <f>$AE$5</f>
        <v>Benefice</v>
      </c>
      <c r="AH126" s="16" t="s">
        <v>1062</v>
      </c>
      <c r="AJ126" s="170" t="s">
        <v>1063</v>
      </c>
      <c r="AQ126" s="222">
        <f>AQ5</f>
        <v>44588</v>
      </c>
    </row>
    <row r="127" spans="1:43" ht="16.5" x14ac:dyDescent="0.25">
      <c r="A127" s="6"/>
      <c r="G127" s="201" t="s">
        <v>1040</v>
      </c>
      <c r="H127" s="202" t="s">
        <v>1040</v>
      </c>
      <c r="I127" s="203"/>
      <c r="J127" s="202" t="s">
        <v>1040</v>
      </c>
      <c r="K127" s="202" t="s">
        <v>1040</v>
      </c>
      <c r="L127" s="202" t="s">
        <v>1040</v>
      </c>
      <c r="M127" s="202" t="s">
        <v>1040</v>
      </c>
      <c r="N127" s="202" t="s">
        <v>1040</v>
      </c>
      <c r="O127" s="202" t="s">
        <v>1040</v>
      </c>
      <c r="P127" s="202" t="s">
        <v>1040</v>
      </c>
      <c r="Q127" s="202" t="s">
        <v>1040</v>
      </c>
      <c r="R127" s="202" t="s">
        <v>1040</v>
      </c>
      <c r="S127" s="147" t="s">
        <v>1040</v>
      </c>
      <c r="T127" s="147" t="s">
        <v>1040</v>
      </c>
      <c r="U127" s="147" t="s">
        <v>1040</v>
      </c>
      <c r="W127" s="194"/>
      <c r="X127"/>
      <c r="Y127"/>
      <c r="Z127"/>
      <c r="AA127"/>
      <c r="AB127"/>
      <c r="AC127"/>
      <c r="AJ127" s="23"/>
    </row>
    <row r="128" spans="1:43" x14ac:dyDescent="0.2">
      <c r="X128" s="79"/>
      <c r="AJ128" s="23"/>
    </row>
    <row r="129" spans="1:43" x14ac:dyDescent="0.2">
      <c r="A129" s="144" t="s">
        <v>105</v>
      </c>
      <c r="B129" s="9" t="s">
        <v>495</v>
      </c>
      <c r="C129" s="9" t="s">
        <v>495</v>
      </c>
      <c r="D129" s="9">
        <v>0</v>
      </c>
      <c r="E129" s="9"/>
      <c r="F129" s="9">
        <v>0</v>
      </c>
      <c r="G129" s="83">
        <v>75523</v>
      </c>
      <c r="H129" s="83">
        <f t="shared" ref="H129:H155" si="26">SUM(J129:U129)+SUM(AA129:AC129)</f>
        <v>75522.960000000006</v>
      </c>
      <c r="I129" s="133">
        <f t="shared" ref="I129" si="27">ROUND((H129/G129),4)</f>
        <v>1</v>
      </c>
      <c r="J129" s="82">
        <v>6293.58</v>
      </c>
      <c r="K129" s="82">
        <v>6293.58</v>
      </c>
      <c r="L129" s="82">
        <v>6293.58</v>
      </c>
      <c r="M129" s="82">
        <v>6293.58</v>
      </c>
      <c r="N129" s="82">
        <v>6293.58</v>
      </c>
      <c r="O129" s="82">
        <v>6293.58</v>
      </c>
      <c r="P129" s="82">
        <v>6293.58</v>
      </c>
      <c r="Q129" s="82">
        <v>6293.58</v>
      </c>
      <c r="R129" s="82">
        <v>6293.58</v>
      </c>
      <c r="S129" s="23">
        <v>6293.58</v>
      </c>
      <c r="T129" s="23">
        <v>6293.58</v>
      </c>
      <c r="U129" s="23">
        <v>6293.58</v>
      </c>
      <c r="V129" s="7" t="s">
        <v>584</v>
      </c>
      <c r="W129" s="82">
        <f t="shared" ref="W129:W155" si="28">G129-H129</f>
        <v>3.9999999993597157E-2</v>
      </c>
      <c r="X129" s="79"/>
      <c r="Y129" s="4"/>
      <c r="Z129" s="4"/>
      <c r="AA129" s="82">
        <v>0</v>
      </c>
      <c r="AB129" s="82"/>
      <c r="AC129" s="82"/>
      <c r="AD129" s="23"/>
      <c r="AE129" s="7" t="s">
        <v>399</v>
      </c>
      <c r="AH129" s="23">
        <f>SUM('2020 detail'!J129:U129)+'2020 detail'!AA129+'2020 detail'!AB129</f>
        <v>75522.960000000006</v>
      </c>
      <c r="AJ129" s="23">
        <f t="shared" si="20"/>
        <v>0</v>
      </c>
      <c r="AL129" t="str">
        <f t="shared" ref="AL129:AL155" si="29">IF(AJ129&lt;0,"Down",IF(AJ129&gt;0,"Up","Same"))</f>
        <v>Same</v>
      </c>
      <c r="AQ129" s="23">
        <v>6293.58</v>
      </c>
    </row>
    <row r="130" spans="1:43" x14ac:dyDescent="0.2">
      <c r="A130" s="144" t="s">
        <v>106</v>
      </c>
      <c r="B130" s="9" t="s">
        <v>495</v>
      </c>
      <c r="C130" s="9" t="s">
        <v>495</v>
      </c>
      <c r="D130" s="9" t="s">
        <v>495</v>
      </c>
      <c r="E130" s="9"/>
      <c r="F130" s="9">
        <v>0</v>
      </c>
      <c r="G130" s="83">
        <v>109177</v>
      </c>
      <c r="H130" s="83">
        <f t="shared" si="26"/>
        <v>77000</v>
      </c>
      <c r="I130" s="133">
        <f t="shared" ref="I130:I155" si="30">ROUND((H130/G130),4)</f>
        <v>0.70530000000000004</v>
      </c>
      <c r="J130" s="82">
        <v>0</v>
      </c>
      <c r="K130" s="82">
        <v>10000</v>
      </c>
      <c r="L130" s="82"/>
      <c r="M130" s="82">
        <v>10000</v>
      </c>
      <c r="N130" s="82">
        <v>5000</v>
      </c>
      <c r="O130" s="82">
        <v>5000</v>
      </c>
      <c r="P130" s="82">
        <v>5000</v>
      </c>
      <c r="Q130" s="82">
        <v>5000</v>
      </c>
      <c r="R130" s="82">
        <v>5000</v>
      </c>
      <c r="S130" s="23">
        <v>5000</v>
      </c>
      <c r="T130" s="23">
        <v>5000</v>
      </c>
      <c r="U130" s="23">
        <v>5000</v>
      </c>
      <c r="V130" s="7" t="s">
        <v>585</v>
      </c>
      <c r="W130" s="82">
        <f t="shared" si="28"/>
        <v>32177</v>
      </c>
      <c r="X130" s="79"/>
      <c r="AA130" s="82">
        <v>17000</v>
      </c>
      <c r="AB130" s="82"/>
      <c r="AC130" s="82"/>
      <c r="AD130" s="23"/>
      <c r="AE130" s="7" t="s">
        <v>401</v>
      </c>
      <c r="AH130" s="23">
        <f>SUM('2020 detail'!J130:U130)+'2020 detail'!AA130+'2020 detail'!AB130</f>
        <v>68000</v>
      </c>
      <c r="AJ130" s="23">
        <f t="shared" si="20"/>
        <v>9000</v>
      </c>
      <c r="AL130" t="str">
        <f t="shared" si="29"/>
        <v>Up</v>
      </c>
      <c r="AQ130" s="23">
        <v>5000</v>
      </c>
    </row>
    <row r="131" spans="1:43" x14ac:dyDescent="0.2">
      <c r="A131" s="144" t="s">
        <v>107</v>
      </c>
      <c r="B131" s="9" t="s">
        <v>495</v>
      </c>
      <c r="C131" s="9" t="s">
        <v>495</v>
      </c>
      <c r="D131" s="9" t="s">
        <v>495</v>
      </c>
      <c r="E131" s="9"/>
      <c r="F131" s="9" t="s">
        <v>495</v>
      </c>
      <c r="G131" s="83">
        <v>194151</v>
      </c>
      <c r="H131" s="83">
        <f t="shared" si="26"/>
        <v>127639.75</v>
      </c>
      <c r="I131" s="133">
        <f t="shared" si="30"/>
        <v>0.65739999999999998</v>
      </c>
      <c r="J131" s="82">
        <v>16179.25</v>
      </c>
      <c r="K131" s="82">
        <v>16179.25</v>
      </c>
      <c r="L131" s="82">
        <v>16179.25</v>
      </c>
      <c r="M131" s="82">
        <v>16179.25</v>
      </c>
      <c r="N131" s="82">
        <v>16179.25</v>
      </c>
      <c r="O131" s="82">
        <v>9079.25</v>
      </c>
      <c r="P131" s="82">
        <v>9079.25</v>
      </c>
      <c r="Q131" s="82">
        <v>9079.25</v>
      </c>
      <c r="R131" s="82">
        <v>9079.25</v>
      </c>
      <c r="S131" s="23">
        <v>3475.5</v>
      </c>
      <c r="T131" s="23">
        <v>3475.5</v>
      </c>
      <c r="U131" s="23">
        <v>3475.5</v>
      </c>
      <c r="V131" s="7" t="s">
        <v>586</v>
      </c>
      <c r="W131" s="82">
        <f t="shared" si="28"/>
        <v>66511.25</v>
      </c>
      <c r="X131" s="79"/>
      <c r="AA131" s="82">
        <v>0</v>
      </c>
      <c r="AB131" s="82"/>
      <c r="AC131" s="82"/>
      <c r="AD131" s="23"/>
      <c r="AE131" s="7" t="s">
        <v>402</v>
      </c>
      <c r="AH131" s="23">
        <f>SUM('2020 detail'!J131:U131)+'2020 detail'!AA131+'2020 detail'!AB131</f>
        <v>194150.84</v>
      </c>
      <c r="AJ131" s="23">
        <f t="shared" si="20"/>
        <v>-66511.09</v>
      </c>
      <c r="AL131" t="str">
        <f t="shared" si="29"/>
        <v>Down</v>
      </c>
      <c r="AQ131" s="23">
        <v>3475.5</v>
      </c>
    </row>
    <row r="132" spans="1:43" x14ac:dyDescent="0.2">
      <c r="A132" s="144" t="s">
        <v>108</v>
      </c>
      <c r="B132" s="9" t="s">
        <v>495</v>
      </c>
      <c r="C132" s="9" t="s">
        <v>495</v>
      </c>
      <c r="D132" s="9" t="s">
        <v>495</v>
      </c>
      <c r="E132" s="9"/>
      <c r="F132" s="9">
        <v>0</v>
      </c>
      <c r="G132" s="83">
        <v>40656</v>
      </c>
      <c r="H132" s="83">
        <f t="shared" si="26"/>
        <v>30000</v>
      </c>
      <c r="I132" s="133">
        <f t="shared" si="30"/>
        <v>0.7379</v>
      </c>
      <c r="J132" s="82">
        <v>0</v>
      </c>
      <c r="K132" s="82"/>
      <c r="L132" s="82"/>
      <c r="M132" s="82"/>
      <c r="N132" s="82"/>
      <c r="O132" s="82"/>
      <c r="P132" s="82"/>
      <c r="Q132" s="82">
        <v>15000</v>
      </c>
      <c r="R132" s="82">
        <v>0</v>
      </c>
      <c r="S132" s="23"/>
      <c r="T132" s="23"/>
      <c r="U132" s="23">
        <v>15000</v>
      </c>
      <c r="V132" s="7" t="s">
        <v>587</v>
      </c>
      <c r="W132" s="82">
        <f t="shared" si="28"/>
        <v>10656</v>
      </c>
      <c r="X132" s="79"/>
      <c r="AA132" s="82">
        <v>0</v>
      </c>
      <c r="AB132" s="82"/>
      <c r="AC132" s="82"/>
      <c r="AD132" s="23"/>
      <c r="AE132" s="7" t="s">
        <v>403</v>
      </c>
      <c r="AH132" s="23">
        <f>SUM('2020 detail'!J132:U132)+'2020 detail'!AA132+'2020 detail'!AB132</f>
        <v>20000</v>
      </c>
      <c r="AJ132" s="23">
        <f t="shared" si="20"/>
        <v>10000</v>
      </c>
      <c r="AL132" t="str">
        <f t="shared" si="29"/>
        <v>Up</v>
      </c>
      <c r="AQ132" s="23">
        <v>15000</v>
      </c>
    </row>
    <row r="133" spans="1:43" x14ac:dyDescent="0.2">
      <c r="A133" s="144" t="s">
        <v>109</v>
      </c>
      <c r="B133" s="9" t="s">
        <v>495</v>
      </c>
      <c r="C133" s="9" t="s">
        <v>495</v>
      </c>
      <c r="D133" s="9" t="s">
        <v>495</v>
      </c>
      <c r="E133" s="9"/>
      <c r="F133" s="9">
        <v>0</v>
      </c>
      <c r="G133" s="83">
        <v>42376</v>
      </c>
      <c r="H133" s="83">
        <f t="shared" si="26"/>
        <v>30000</v>
      </c>
      <c r="I133" s="133">
        <f t="shared" si="30"/>
        <v>0.70789999999999997</v>
      </c>
      <c r="J133" s="82">
        <v>0</v>
      </c>
      <c r="K133" s="82"/>
      <c r="L133" s="82"/>
      <c r="M133" s="82"/>
      <c r="N133" s="82"/>
      <c r="O133" s="82"/>
      <c r="P133" s="82">
        <v>8000</v>
      </c>
      <c r="Q133" s="82"/>
      <c r="R133" s="82"/>
      <c r="S133" s="23"/>
      <c r="T133" s="23"/>
      <c r="U133" s="23">
        <v>22000</v>
      </c>
      <c r="V133" s="7" t="s">
        <v>588</v>
      </c>
      <c r="W133" s="82">
        <f t="shared" si="28"/>
        <v>12376</v>
      </c>
      <c r="X133" s="79"/>
      <c r="AA133" s="82">
        <v>0</v>
      </c>
      <c r="AB133" s="82"/>
      <c r="AC133" s="82"/>
      <c r="AD133" s="23"/>
      <c r="AE133" s="7" t="s">
        <v>404</v>
      </c>
      <c r="AH133" s="23">
        <f>SUM('2020 detail'!J133:U133)+'2020 detail'!AA133+'2020 detail'!AB133</f>
        <v>42376</v>
      </c>
      <c r="AJ133" s="23">
        <f t="shared" si="20"/>
        <v>-12376</v>
      </c>
      <c r="AL133" t="str">
        <f t="shared" si="29"/>
        <v>Down</v>
      </c>
      <c r="AQ133" s="23">
        <v>22000</v>
      </c>
    </row>
    <row r="134" spans="1:43" x14ac:dyDescent="0.2">
      <c r="A134" s="144" t="s">
        <v>110</v>
      </c>
      <c r="B134" s="9" t="s">
        <v>495</v>
      </c>
      <c r="C134" s="9" t="s">
        <v>495</v>
      </c>
      <c r="D134" s="9">
        <v>0</v>
      </c>
      <c r="E134" s="9"/>
      <c r="F134" s="9">
        <v>0</v>
      </c>
      <c r="G134" s="83">
        <v>51430</v>
      </c>
      <c r="H134" s="83">
        <f t="shared" si="26"/>
        <v>51430</v>
      </c>
      <c r="I134" s="133">
        <f t="shared" si="30"/>
        <v>1</v>
      </c>
      <c r="J134" s="82">
        <v>4285</v>
      </c>
      <c r="K134" s="82">
        <v>4285</v>
      </c>
      <c r="L134" s="82">
        <v>4285</v>
      </c>
      <c r="M134" s="82">
        <v>4285</v>
      </c>
      <c r="N134" s="82">
        <v>4285</v>
      </c>
      <c r="O134" s="82">
        <v>4285</v>
      </c>
      <c r="P134" s="82">
        <v>4285</v>
      </c>
      <c r="Q134" s="82">
        <v>4285</v>
      </c>
      <c r="R134" s="82">
        <v>4285</v>
      </c>
      <c r="S134" s="23">
        <v>4285</v>
      </c>
      <c r="T134" s="23">
        <v>4785</v>
      </c>
      <c r="U134" s="23">
        <v>3795</v>
      </c>
      <c r="V134" s="7" t="s">
        <v>589</v>
      </c>
      <c r="W134" s="82">
        <f t="shared" si="28"/>
        <v>0</v>
      </c>
      <c r="X134" s="79"/>
      <c r="AA134" s="82">
        <v>0</v>
      </c>
      <c r="AB134" s="82"/>
      <c r="AC134" s="82"/>
      <c r="AD134" s="23"/>
      <c r="AE134" s="7" t="s">
        <v>405</v>
      </c>
      <c r="AH134" s="23">
        <f>SUM('2020 detail'!J134:U134)+'2020 detail'!AA134+'2020 detail'!AB134</f>
        <v>51430</v>
      </c>
      <c r="AJ134" s="23">
        <f t="shared" si="20"/>
        <v>0</v>
      </c>
      <c r="AL134" t="str">
        <f t="shared" si="29"/>
        <v>Same</v>
      </c>
      <c r="AQ134" s="23">
        <v>3795</v>
      </c>
    </row>
    <row r="135" spans="1:43" x14ac:dyDescent="0.2">
      <c r="A135" s="144" t="s">
        <v>111</v>
      </c>
      <c r="B135" s="9" t="s">
        <v>495</v>
      </c>
      <c r="C135" s="9">
        <v>0</v>
      </c>
      <c r="D135" s="9">
        <v>0</v>
      </c>
      <c r="E135" s="9"/>
      <c r="F135" s="9">
        <v>0</v>
      </c>
      <c r="G135" s="83">
        <v>17502</v>
      </c>
      <c r="H135" s="83">
        <f t="shared" si="26"/>
        <v>5000</v>
      </c>
      <c r="I135" s="133">
        <f t="shared" si="30"/>
        <v>0.28570000000000001</v>
      </c>
      <c r="J135" s="82">
        <v>0</v>
      </c>
      <c r="K135" s="82"/>
      <c r="L135" s="82"/>
      <c r="M135" s="82"/>
      <c r="N135" s="82"/>
      <c r="O135" s="82"/>
      <c r="P135" s="82"/>
      <c r="Q135" s="82"/>
      <c r="R135" s="82">
        <v>4000</v>
      </c>
      <c r="S135" s="23">
        <v>1000</v>
      </c>
      <c r="T135" s="23"/>
      <c r="U135" s="23"/>
      <c r="V135" s="7" t="s">
        <v>590</v>
      </c>
      <c r="W135" s="82">
        <f t="shared" si="28"/>
        <v>12502</v>
      </c>
      <c r="X135" s="79"/>
      <c r="AA135" s="82">
        <v>0</v>
      </c>
      <c r="AB135" s="82"/>
      <c r="AC135" s="82"/>
      <c r="AD135" s="23"/>
      <c r="AE135" s="7" t="s">
        <v>404</v>
      </c>
      <c r="AH135" s="23">
        <f>SUM('2020 detail'!J135:U135)+'2020 detail'!AA135+'2020 detail'!AB135</f>
        <v>5000</v>
      </c>
      <c r="AJ135" s="23">
        <f t="shared" si="20"/>
        <v>0</v>
      </c>
      <c r="AL135" t="str">
        <f t="shared" si="29"/>
        <v>Same</v>
      </c>
    </row>
    <row r="136" spans="1:43" x14ac:dyDescent="0.2">
      <c r="A136" s="144" t="s">
        <v>112</v>
      </c>
      <c r="B136" s="9" t="s">
        <v>495</v>
      </c>
      <c r="C136" s="9" t="s">
        <v>495</v>
      </c>
      <c r="D136" s="9">
        <v>0</v>
      </c>
      <c r="E136" s="9"/>
      <c r="F136" s="9">
        <v>0</v>
      </c>
      <c r="G136" s="83">
        <v>66353</v>
      </c>
      <c r="H136" s="83">
        <f t="shared" si="26"/>
        <v>66353</v>
      </c>
      <c r="I136" s="133">
        <f t="shared" si="30"/>
        <v>1</v>
      </c>
      <c r="J136" s="82">
        <v>4500</v>
      </c>
      <c r="K136" s="82">
        <v>4500</v>
      </c>
      <c r="L136" s="82">
        <v>4500</v>
      </c>
      <c r="M136" s="82">
        <v>4500</v>
      </c>
      <c r="N136" s="82">
        <v>4500</v>
      </c>
      <c r="O136" s="82">
        <v>17500</v>
      </c>
      <c r="P136" s="82">
        <v>4500</v>
      </c>
      <c r="Q136" s="82">
        <v>4500</v>
      </c>
      <c r="R136" s="82">
        <v>4500</v>
      </c>
      <c r="S136" s="23">
        <v>4500</v>
      </c>
      <c r="T136" s="23">
        <v>4500</v>
      </c>
      <c r="U136" s="23">
        <v>3853</v>
      </c>
      <c r="V136" s="7" t="s">
        <v>591</v>
      </c>
      <c r="W136" s="82">
        <f t="shared" si="28"/>
        <v>0</v>
      </c>
      <c r="X136" s="79"/>
      <c r="AA136" s="82">
        <v>0</v>
      </c>
      <c r="AB136" s="82"/>
      <c r="AC136" s="82"/>
      <c r="AD136" s="23"/>
      <c r="AE136" s="7" t="s">
        <v>406</v>
      </c>
      <c r="AH136" s="23">
        <f>SUM('2020 detail'!J136:U136)+'2020 detail'!AA136+'2020 detail'!AB136</f>
        <v>66353</v>
      </c>
      <c r="AJ136" s="23">
        <f t="shared" si="20"/>
        <v>0</v>
      </c>
      <c r="AL136" t="str">
        <f t="shared" si="29"/>
        <v>Same</v>
      </c>
      <c r="AQ136" s="23">
        <v>3853</v>
      </c>
    </row>
    <row r="137" spans="1:43" x14ac:dyDescent="0.2">
      <c r="A137" s="144" t="s">
        <v>113</v>
      </c>
      <c r="B137" s="9" t="s">
        <v>495</v>
      </c>
      <c r="C137" s="9" t="s">
        <v>495</v>
      </c>
      <c r="D137" s="9">
        <v>0</v>
      </c>
      <c r="E137" s="9"/>
      <c r="F137" s="9" t="s">
        <v>495</v>
      </c>
      <c r="G137" s="83">
        <v>111579</v>
      </c>
      <c r="H137" s="83">
        <f t="shared" si="26"/>
        <v>111579</v>
      </c>
      <c r="I137" s="133">
        <f t="shared" si="30"/>
        <v>1</v>
      </c>
      <c r="J137" s="82">
        <v>9298.25</v>
      </c>
      <c r="K137" s="82">
        <v>9298.25</v>
      </c>
      <c r="L137" s="82">
        <v>9298.25</v>
      </c>
      <c r="M137" s="82">
        <v>9298.25</v>
      </c>
      <c r="N137" s="82">
        <v>9298.25</v>
      </c>
      <c r="O137" s="82">
        <v>9298.25</v>
      </c>
      <c r="P137" s="82">
        <v>9298.25</v>
      </c>
      <c r="Q137" s="82">
        <v>9298.25</v>
      </c>
      <c r="R137" s="82">
        <v>9298.25</v>
      </c>
      <c r="S137" s="23">
        <v>9298.25</v>
      </c>
      <c r="T137" s="23">
        <v>9298.25</v>
      </c>
      <c r="U137" s="23">
        <v>9298.25</v>
      </c>
      <c r="V137" s="7" t="s">
        <v>592</v>
      </c>
      <c r="W137" s="82">
        <f t="shared" si="28"/>
        <v>0</v>
      </c>
      <c r="X137" s="79"/>
      <c r="AA137" s="82">
        <v>0</v>
      </c>
      <c r="AB137" s="82"/>
      <c r="AC137" s="82"/>
      <c r="AD137" s="23"/>
      <c r="AE137" s="7" t="s">
        <v>407</v>
      </c>
      <c r="AH137" s="23">
        <f>SUM('2020 detail'!J137:U137)+'2020 detail'!AA137+'2020 detail'!AB137</f>
        <v>111579</v>
      </c>
      <c r="AJ137" s="23">
        <f t="shared" ref="AJ137:AJ200" si="31">H137-AH137</f>
        <v>0</v>
      </c>
      <c r="AL137" t="str">
        <f t="shared" si="29"/>
        <v>Same</v>
      </c>
      <c r="AQ137" s="23">
        <v>9298.25</v>
      </c>
    </row>
    <row r="138" spans="1:43" x14ac:dyDescent="0.2">
      <c r="A138" s="144" t="s">
        <v>114</v>
      </c>
      <c r="B138" s="9">
        <v>0</v>
      </c>
      <c r="C138" s="9">
        <v>0</v>
      </c>
      <c r="D138" s="9">
        <v>0</v>
      </c>
      <c r="E138" s="9"/>
      <c r="F138" s="9" t="s">
        <v>495</v>
      </c>
      <c r="G138" s="83">
        <v>79130</v>
      </c>
      <c r="H138" s="83">
        <f t="shared" si="26"/>
        <v>54000</v>
      </c>
      <c r="I138" s="133">
        <f t="shared" si="30"/>
        <v>0.68240000000000001</v>
      </c>
      <c r="J138" s="82">
        <v>4500</v>
      </c>
      <c r="K138" s="82">
        <v>4500</v>
      </c>
      <c r="L138" s="82">
        <v>4500</v>
      </c>
      <c r="M138" s="82">
        <v>4500</v>
      </c>
      <c r="N138" s="82">
        <v>4500</v>
      </c>
      <c r="O138" s="82">
        <v>4500</v>
      </c>
      <c r="P138" s="82">
        <v>4500</v>
      </c>
      <c r="Q138" s="82">
        <v>4500</v>
      </c>
      <c r="R138" s="82">
        <v>4500</v>
      </c>
      <c r="S138" s="23">
        <v>4500</v>
      </c>
      <c r="T138" s="23">
        <v>4500</v>
      </c>
      <c r="U138" s="23">
        <v>4500</v>
      </c>
      <c r="V138" s="7" t="s">
        <v>593</v>
      </c>
      <c r="W138" s="82">
        <f t="shared" si="28"/>
        <v>25130</v>
      </c>
      <c r="X138" s="79"/>
      <c r="AA138" s="82">
        <v>0</v>
      </c>
      <c r="AB138" s="82"/>
      <c r="AC138" s="82"/>
      <c r="AD138" s="23"/>
      <c r="AE138" s="7" t="s">
        <v>409</v>
      </c>
      <c r="AH138" s="23">
        <f>SUM('2020 detail'!J138:U138)+'2020 detail'!AA138+'2020 detail'!AB138</f>
        <v>60282.559999999998</v>
      </c>
      <c r="AJ138" s="23">
        <f t="shared" si="31"/>
        <v>-6282.5599999999977</v>
      </c>
      <c r="AL138" t="str">
        <f t="shared" si="29"/>
        <v>Down</v>
      </c>
      <c r="AQ138" s="23">
        <v>4500</v>
      </c>
    </row>
    <row r="139" spans="1:43" x14ac:dyDescent="0.2">
      <c r="A139" s="144" t="s">
        <v>115</v>
      </c>
      <c r="B139" s="9" t="s">
        <v>495</v>
      </c>
      <c r="C139" s="9" t="s">
        <v>495</v>
      </c>
      <c r="D139" s="9" t="s">
        <v>495</v>
      </c>
      <c r="E139" s="9"/>
      <c r="F139" s="9">
        <v>0</v>
      </c>
      <c r="G139" s="83">
        <v>36231</v>
      </c>
      <c r="H139" s="83">
        <f t="shared" si="26"/>
        <v>20000</v>
      </c>
      <c r="I139" s="133">
        <f t="shared" si="30"/>
        <v>0.55200000000000005</v>
      </c>
      <c r="J139" s="82">
        <v>1500</v>
      </c>
      <c r="K139" s="82">
        <v>1500</v>
      </c>
      <c r="L139" s="82">
        <v>1500</v>
      </c>
      <c r="M139" s="82">
        <v>1500</v>
      </c>
      <c r="N139" s="82">
        <v>1500</v>
      </c>
      <c r="O139" s="82">
        <v>1500</v>
      </c>
      <c r="P139" s="82">
        <v>1500</v>
      </c>
      <c r="Q139" s="82"/>
      <c r="R139" s="82"/>
      <c r="S139" s="23"/>
      <c r="T139" s="23"/>
      <c r="U139" s="82">
        <v>9500</v>
      </c>
      <c r="V139" s="7" t="s">
        <v>594</v>
      </c>
      <c r="W139" s="82">
        <f t="shared" si="28"/>
        <v>16231</v>
      </c>
      <c r="X139" s="79"/>
      <c r="AA139" s="82">
        <v>0</v>
      </c>
      <c r="AB139" s="82"/>
      <c r="AC139" s="82"/>
      <c r="AD139" s="23"/>
      <c r="AE139" s="7" t="s">
        <v>404</v>
      </c>
      <c r="AH139" s="23">
        <f>SUM('2020 detail'!J139:U139)+'2020 detail'!AA139+'2020 detail'!AB139</f>
        <v>30731</v>
      </c>
      <c r="AJ139" s="23">
        <f t="shared" si="31"/>
        <v>-10731</v>
      </c>
      <c r="AL139" t="str">
        <f t="shared" si="29"/>
        <v>Down</v>
      </c>
      <c r="AQ139" s="23">
        <v>9500</v>
      </c>
    </row>
    <row r="140" spans="1:43" x14ac:dyDescent="0.2">
      <c r="A140" s="144" t="s">
        <v>116</v>
      </c>
      <c r="B140" s="9">
        <v>0</v>
      </c>
      <c r="C140" s="9" t="s">
        <v>495</v>
      </c>
      <c r="D140" s="9" t="s">
        <v>495</v>
      </c>
      <c r="E140" s="9"/>
      <c r="F140" s="9" t="s">
        <v>495</v>
      </c>
      <c r="G140" s="83">
        <v>47588</v>
      </c>
      <c r="H140" s="83">
        <f t="shared" si="26"/>
        <v>15000</v>
      </c>
      <c r="I140" s="133">
        <f t="shared" si="30"/>
        <v>0.31519999999999998</v>
      </c>
      <c r="J140" s="82">
        <v>1500</v>
      </c>
      <c r="K140" s="82"/>
      <c r="L140" s="82"/>
      <c r="M140" s="82"/>
      <c r="N140" s="82">
        <v>4500</v>
      </c>
      <c r="O140" s="82"/>
      <c r="P140" s="82"/>
      <c r="Q140" s="82">
        <v>4500</v>
      </c>
      <c r="R140" s="82">
        <v>0</v>
      </c>
      <c r="S140" s="23">
        <v>0</v>
      </c>
      <c r="T140" s="23">
        <v>0</v>
      </c>
      <c r="U140" s="82">
        <v>4500</v>
      </c>
      <c r="V140" s="7" t="s">
        <v>595</v>
      </c>
      <c r="W140" s="82">
        <f t="shared" si="28"/>
        <v>32588</v>
      </c>
      <c r="X140" s="79"/>
      <c r="AA140" s="82">
        <v>0</v>
      </c>
      <c r="AB140" s="82"/>
      <c r="AC140" s="82"/>
      <c r="AD140" s="23"/>
      <c r="AE140" s="7" t="s">
        <v>404</v>
      </c>
      <c r="AH140" s="23">
        <f>SUM('2020 detail'!J140:U140)+'2020 detail'!AA140+'2020 detail'!AB140</f>
        <v>15500</v>
      </c>
      <c r="AJ140" s="23">
        <f t="shared" si="31"/>
        <v>-500</v>
      </c>
      <c r="AL140" t="str">
        <f t="shared" si="29"/>
        <v>Down</v>
      </c>
      <c r="AQ140" s="23">
        <v>4500</v>
      </c>
    </row>
    <row r="141" spans="1:43" x14ac:dyDescent="0.2">
      <c r="A141" s="144" t="s">
        <v>117</v>
      </c>
      <c r="B141" s="9" t="s">
        <v>495</v>
      </c>
      <c r="C141" s="9" t="s">
        <v>495</v>
      </c>
      <c r="D141" s="9" t="s">
        <v>495</v>
      </c>
      <c r="E141" s="9"/>
      <c r="F141" s="9">
        <v>0</v>
      </c>
      <c r="G141" s="83">
        <v>90610</v>
      </c>
      <c r="H141" s="83">
        <f t="shared" si="26"/>
        <v>90610</v>
      </c>
      <c r="I141" s="133">
        <f t="shared" si="30"/>
        <v>1</v>
      </c>
      <c r="J141" s="82">
        <v>0</v>
      </c>
      <c r="K141" s="82">
        <v>15110</v>
      </c>
      <c r="L141" s="82">
        <v>7550</v>
      </c>
      <c r="M141" s="82">
        <v>7550</v>
      </c>
      <c r="N141" s="82">
        <v>7550</v>
      </c>
      <c r="O141" s="82">
        <v>7550</v>
      </c>
      <c r="P141" s="82">
        <v>7550</v>
      </c>
      <c r="Q141" s="82">
        <v>7550</v>
      </c>
      <c r="R141" s="82">
        <v>7550</v>
      </c>
      <c r="S141" s="23">
        <v>7550</v>
      </c>
      <c r="T141" s="23">
        <v>7550</v>
      </c>
      <c r="U141" s="23">
        <v>7550</v>
      </c>
      <c r="V141" s="7" t="s">
        <v>596</v>
      </c>
      <c r="W141" s="82">
        <f t="shared" si="28"/>
        <v>0</v>
      </c>
      <c r="X141" s="79"/>
      <c r="AA141" s="82">
        <v>0</v>
      </c>
      <c r="AB141" s="82"/>
      <c r="AC141" s="82"/>
      <c r="AD141" s="23"/>
      <c r="AE141" s="7" t="s">
        <v>410</v>
      </c>
      <c r="AH141" s="23">
        <f>SUM('2020 detail'!J141:U141)+'2020 detail'!AA141+'2020 detail'!AB141</f>
        <v>90610</v>
      </c>
      <c r="AJ141" s="23">
        <f t="shared" si="31"/>
        <v>0</v>
      </c>
      <c r="AL141" t="str">
        <f t="shared" si="29"/>
        <v>Same</v>
      </c>
      <c r="AQ141" s="23">
        <v>7550</v>
      </c>
    </row>
    <row r="142" spans="1:43" x14ac:dyDescent="0.2">
      <c r="A142" s="144" t="s">
        <v>118</v>
      </c>
      <c r="B142" s="9" t="s">
        <v>495</v>
      </c>
      <c r="C142" s="9" t="s">
        <v>495</v>
      </c>
      <c r="D142" s="9" t="s">
        <v>495</v>
      </c>
      <c r="E142" s="9"/>
      <c r="F142" s="9">
        <v>0</v>
      </c>
      <c r="G142" s="83">
        <v>44742</v>
      </c>
      <c r="H142" s="83">
        <f t="shared" si="26"/>
        <v>37500</v>
      </c>
      <c r="I142" s="133">
        <f t="shared" si="30"/>
        <v>0.83809999999999996</v>
      </c>
      <c r="J142" s="82">
        <v>2500</v>
      </c>
      <c r="K142" s="82"/>
      <c r="L142" s="82">
        <v>2000</v>
      </c>
      <c r="M142" s="82">
        <v>2000</v>
      </c>
      <c r="N142" s="82">
        <v>2000</v>
      </c>
      <c r="O142" s="82">
        <v>2000</v>
      </c>
      <c r="P142" s="82">
        <v>2000</v>
      </c>
      <c r="Q142" s="82">
        <v>3000</v>
      </c>
      <c r="R142" s="82">
        <v>3000</v>
      </c>
      <c r="S142" s="23">
        <v>3000</v>
      </c>
      <c r="T142" s="23">
        <v>3000</v>
      </c>
      <c r="U142" s="23">
        <v>13000</v>
      </c>
      <c r="V142" s="7" t="s">
        <v>597</v>
      </c>
      <c r="W142" s="82">
        <f t="shared" si="28"/>
        <v>7242</v>
      </c>
      <c r="X142" s="79"/>
      <c r="AA142" s="82">
        <v>0</v>
      </c>
      <c r="AB142" s="82"/>
      <c r="AC142" s="82"/>
      <c r="AD142" s="23"/>
      <c r="AE142" s="7" t="s">
        <v>400</v>
      </c>
      <c r="AH142" s="23">
        <f>SUM('2020 detail'!J142:U142)+'2020 detail'!AA142+'2020 detail'!AB142</f>
        <v>30500</v>
      </c>
      <c r="AJ142" s="23">
        <f t="shared" si="31"/>
        <v>7000</v>
      </c>
      <c r="AL142" t="str">
        <f t="shared" si="29"/>
        <v>Up</v>
      </c>
      <c r="AQ142" s="23">
        <v>13000</v>
      </c>
    </row>
    <row r="143" spans="1:43" x14ac:dyDescent="0.2">
      <c r="A143" s="144" t="s">
        <v>119</v>
      </c>
      <c r="B143" s="9" t="s">
        <v>495</v>
      </c>
      <c r="C143" s="9" t="s">
        <v>495</v>
      </c>
      <c r="D143" s="9" t="s">
        <v>495</v>
      </c>
      <c r="E143" s="9"/>
      <c r="F143" s="9">
        <v>0</v>
      </c>
      <c r="G143" s="83">
        <v>28395</v>
      </c>
      <c r="H143" s="83">
        <f t="shared" si="26"/>
        <v>25545.33</v>
      </c>
      <c r="I143" s="133">
        <f t="shared" si="30"/>
        <v>0.89959999999999996</v>
      </c>
      <c r="J143" s="82">
        <v>1881.25</v>
      </c>
      <c r="K143" s="82"/>
      <c r="L143" s="82">
        <v>4000</v>
      </c>
      <c r="M143" s="82">
        <v>1881.25</v>
      </c>
      <c r="N143" s="82">
        <v>2154.69</v>
      </c>
      <c r="O143" s="82">
        <v>2154.69</v>
      </c>
      <c r="P143" s="82">
        <v>2154.69</v>
      </c>
      <c r="Q143" s="82"/>
      <c r="R143" s="82">
        <v>2854.69</v>
      </c>
      <c r="S143" s="23">
        <v>4000</v>
      </c>
      <c r="T143" s="23">
        <v>2154.69</v>
      </c>
      <c r="U143" s="23">
        <v>2309.38</v>
      </c>
      <c r="V143" s="7" t="s">
        <v>598</v>
      </c>
      <c r="W143" s="82">
        <f t="shared" si="28"/>
        <v>2849.6699999999983</v>
      </c>
      <c r="X143" s="79"/>
      <c r="AA143" s="82">
        <v>0</v>
      </c>
      <c r="AB143" s="82"/>
      <c r="AC143" s="82"/>
      <c r="AD143" s="23"/>
      <c r="AE143" s="7" t="s">
        <v>411</v>
      </c>
      <c r="AH143" s="23">
        <f>SUM('2020 detail'!J143:U143)+'2020 detail'!AA143+'2020 detail'!AB143</f>
        <v>24000</v>
      </c>
      <c r="AJ143" s="23">
        <f t="shared" si="31"/>
        <v>1545.3300000000017</v>
      </c>
      <c r="AL143" t="str">
        <f t="shared" si="29"/>
        <v>Up</v>
      </c>
      <c r="AQ143" s="23">
        <v>2309.38</v>
      </c>
    </row>
    <row r="144" spans="1:43" x14ac:dyDescent="0.2">
      <c r="A144" s="144" t="s">
        <v>120</v>
      </c>
      <c r="B144" s="9" t="s">
        <v>495</v>
      </c>
      <c r="C144" s="9" t="s">
        <v>495</v>
      </c>
      <c r="D144" s="9">
        <v>0</v>
      </c>
      <c r="E144" s="9"/>
      <c r="F144" s="9" t="s">
        <v>495</v>
      </c>
      <c r="G144" s="83">
        <v>113604</v>
      </c>
      <c r="H144" s="83">
        <f t="shared" si="26"/>
        <v>54000</v>
      </c>
      <c r="I144" s="133">
        <f t="shared" si="30"/>
        <v>0.4753</v>
      </c>
      <c r="J144" s="82">
        <v>3000</v>
      </c>
      <c r="K144" s="82">
        <v>3000</v>
      </c>
      <c r="L144" s="82">
        <v>3000</v>
      </c>
      <c r="M144" s="82">
        <v>5000</v>
      </c>
      <c r="N144" s="82">
        <v>5000</v>
      </c>
      <c r="O144" s="82">
        <v>5000</v>
      </c>
      <c r="P144" s="82">
        <v>5000</v>
      </c>
      <c r="Q144" s="82">
        <v>5000</v>
      </c>
      <c r="R144" s="82">
        <v>5000</v>
      </c>
      <c r="S144" s="23">
        <v>5000</v>
      </c>
      <c r="T144" s="23">
        <v>5000</v>
      </c>
      <c r="U144" s="23">
        <v>5000</v>
      </c>
      <c r="V144" s="7" t="s">
        <v>599</v>
      </c>
      <c r="W144" s="82">
        <f t="shared" si="28"/>
        <v>59604</v>
      </c>
      <c r="X144" s="79"/>
      <c r="AA144" s="82">
        <v>0</v>
      </c>
      <c r="AB144" s="82"/>
      <c r="AC144" s="82"/>
      <c r="AD144" s="23"/>
      <c r="AE144" s="7" t="s">
        <v>412</v>
      </c>
      <c r="AH144" s="23">
        <f>SUM('2020 detail'!J144:U144)+'2020 detail'!AA144+'2020 detail'!AB144</f>
        <v>46000</v>
      </c>
      <c r="AJ144" s="23">
        <f t="shared" si="31"/>
        <v>8000</v>
      </c>
      <c r="AL144" t="str">
        <f t="shared" si="29"/>
        <v>Up</v>
      </c>
      <c r="AQ144" s="23">
        <v>5000</v>
      </c>
    </row>
    <row r="145" spans="1:44" x14ac:dyDescent="0.2">
      <c r="A145" s="144" t="s">
        <v>121</v>
      </c>
      <c r="B145" s="9" t="s">
        <v>495</v>
      </c>
      <c r="C145" s="9" t="s">
        <v>495</v>
      </c>
      <c r="D145" s="9" t="s">
        <v>495</v>
      </c>
      <c r="E145" s="9"/>
      <c r="F145" s="9">
        <v>0</v>
      </c>
      <c r="G145" s="83">
        <v>28510</v>
      </c>
      <c r="H145" s="83">
        <f t="shared" si="26"/>
        <v>23000</v>
      </c>
      <c r="I145" s="133">
        <f t="shared" si="30"/>
        <v>0.80669999999999997</v>
      </c>
      <c r="J145" s="82">
        <v>0</v>
      </c>
      <c r="K145" s="82">
        <v>2500</v>
      </c>
      <c r="L145" s="82">
        <v>1250</v>
      </c>
      <c r="M145" s="82">
        <v>1250</v>
      </c>
      <c r="N145" s="82"/>
      <c r="O145" s="82">
        <v>2500</v>
      </c>
      <c r="P145" s="82">
        <v>1250</v>
      </c>
      <c r="Q145" s="82">
        <v>1590</v>
      </c>
      <c r="R145" s="82">
        <v>3000</v>
      </c>
      <c r="S145" s="23">
        <v>3000</v>
      </c>
      <c r="T145" s="23">
        <v>3000</v>
      </c>
      <c r="U145" s="23">
        <v>3660</v>
      </c>
      <c r="V145" s="7" t="s">
        <v>600</v>
      </c>
      <c r="W145" s="82">
        <f t="shared" si="28"/>
        <v>5510</v>
      </c>
      <c r="X145" s="79"/>
      <c r="AA145" s="82">
        <v>0</v>
      </c>
      <c r="AB145" s="82"/>
      <c r="AC145" s="82"/>
      <c r="AD145" s="23"/>
      <c r="AE145" s="7" t="s">
        <v>415</v>
      </c>
      <c r="AH145" s="23">
        <f>SUM('2020 detail'!J145:U145)+'2020 detail'!AA145+'2020 detail'!AB145</f>
        <v>14075</v>
      </c>
      <c r="AJ145" s="23">
        <f t="shared" si="31"/>
        <v>8925</v>
      </c>
      <c r="AL145" t="str">
        <f t="shared" si="29"/>
        <v>Up</v>
      </c>
      <c r="AQ145" s="23">
        <v>3660</v>
      </c>
    </row>
    <row r="146" spans="1:44" x14ac:dyDescent="0.2">
      <c r="A146" s="144" t="s">
        <v>122</v>
      </c>
      <c r="B146" s="9">
        <v>0</v>
      </c>
      <c r="C146" s="9">
        <v>0</v>
      </c>
      <c r="D146" s="9">
        <v>0</v>
      </c>
      <c r="E146" s="9"/>
      <c r="F146" s="9">
        <v>0</v>
      </c>
      <c r="G146" s="83">
        <v>0</v>
      </c>
      <c r="H146" s="83">
        <f t="shared" si="26"/>
        <v>0</v>
      </c>
      <c r="I146" s="133" t="e">
        <f t="shared" si="30"/>
        <v>#DIV/0!</v>
      </c>
      <c r="J146" s="82">
        <v>0</v>
      </c>
      <c r="K146" s="82"/>
      <c r="L146" s="82"/>
      <c r="M146" s="82"/>
      <c r="N146" s="82"/>
      <c r="O146" s="82"/>
      <c r="P146" s="82"/>
      <c r="Q146" s="82"/>
      <c r="R146" s="82"/>
      <c r="S146" s="23"/>
      <c r="T146" s="23"/>
      <c r="U146" s="23"/>
      <c r="V146" s="7" t="s">
        <v>601</v>
      </c>
      <c r="W146" s="82">
        <f t="shared" si="28"/>
        <v>0</v>
      </c>
      <c r="X146" s="79"/>
      <c r="AA146" s="82">
        <v>0</v>
      </c>
      <c r="AB146" s="82"/>
      <c r="AC146" s="82"/>
      <c r="AD146" s="23"/>
      <c r="AE146" s="7" t="s">
        <v>415</v>
      </c>
      <c r="AH146" s="23">
        <f>SUM('2020 detail'!J146:U146)+'2020 detail'!AA146+'2020 detail'!AB146</f>
        <v>0</v>
      </c>
      <c r="AJ146" s="23">
        <f t="shared" si="31"/>
        <v>0</v>
      </c>
      <c r="AL146" t="str">
        <f t="shared" si="29"/>
        <v>Same</v>
      </c>
    </row>
    <row r="147" spans="1:44" x14ac:dyDescent="0.2">
      <c r="A147" s="144" t="s">
        <v>123</v>
      </c>
      <c r="B147" s="9" t="s">
        <v>495</v>
      </c>
      <c r="C147" s="9" t="s">
        <v>495</v>
      </c>
      <c r="D147" s="9" t="s">
        <v>495</v>
      </c>
      <c r="E147" s="9"/>
      <c r="F147" s="9">
        <v>0</v>
      </c>
      <c r="G147" s="83">
        <v>23780</v>
      </c>
      <c r="H147" s="83">
        <f t="shared" si="26"/>
        <v>21000</v>
      </c>
      <c r="I147" s="133">
        <f t="shared" si="30"/>
        <v>0.8831</v>
      </c>
      <c r="J147" s="82">
        <v>0</v>
      </c>
      <c r="K147" s="82">
        <v>2000</v>
      </c>
      <c r="L147" s="82">
        <v>2000</v>
      </c>
      <c r="M147" s="82">
        <v>2000</v>
      </c>
      <c r="N147" s="82">
        <v>2000</v>
      </c>
      <c r="O147" s="82">
        <v>2000</v>
      </c>
      <c r="P147" s="82">
        <v>1750</v>
      </c>
      <c r="Q147" s="82"/>
      <c r="R147" s="82">
        <v>3500</v>
      </c>
      <c r="S147" s="23">
        <v>1750</v>
      </c>
      <c r="T147" s="23">
        <v>1750</v>
      </c>
      <c r="U147" s="23">
        <v>2250</v>
      </c>
      <c r="V147" s="7" t="s">
        <v>602</v>
      </c>
      <c r="W147" s="82">
        <f t="shared" si="28"/>
        <v>2780</v>
      </c>
      <c r="X147" s="79"/>
      <c r="AA147" s="82">
        <v>0</v>
      </c>
      <c r="AB147" s="82"/>
      <c r="AC147" s="82"/>
      <c r="AD147" s="23"/>
      <c r="AE147" s="7" t="s">
        <v>413</v>
      </c>
      <c r="AH147" s="23">
        <f>SUM('2020 detail'!J147:U147)+'2020 detail'!AA147+'2020 detail'!AB147</f>
        <v>23780</v>
      </c>
      <c r="AJ147" s="23">
        <f t="shared" si="31"/>
        <v>-2780</v>
      </c>
      <c r="AL147" t="str">
        <f t="shared" si="29"/>
        <v>Down</v>
      </c>
      <c r="AQ147" s="23">
        <v>2250</v>
      </c>
    </row>
    <row r="148" spans="1:44" x14ac:dyDescent="0.2">
      <c r="A148" s="144" t="s">
        <v>124</v>
      </c>
      <c r="B148" s="9" t="s">
        <v>495</v>
      </c>
      <c r="C148" s="9">
        <v>0</v>
      </c>
      <c r="D148" s="9">
        <v>0</v>
      </c>
      <c r="E148" s="9"/>
      <c r="F148" s="9">
        <v>0</v>
      </c>
      <c r="G148" s="83">
        <v>23785</v>
      </c>
      <c r="H148" s="83">
        <f t="shared" si="26"/>
        <v>23785</v>
      </c>
      <c r="I148" s="133">
        <f t="shared" si="30"/>
        <v>1</v>
      </c>
      <c r="J148" s="82">
        <v>2000</v>
      </c>
      <c r="K148" s="82">
        <v>2000</v>
      </c>
      <c r="L148" s="82">
        <v>2000</v>
      </c>
      <c r="M148" s="82">
        <v>2000</v>
      </c>
      <c r="N148" s="82">
        <v>2000</v>
      </c>
      <c r="O148" s="82">
        <v>2000</v>
      </c>
      <c r="P148" s="82">
        <v>2000</v>
      </c>
      <c r="Q148" s="82">
        <v>2000</v>
      </c>
      <c r="R148" s="82">
        <v>2000</v>
      </c>
      <c r="S148" s="23">
        <v>2000</v>
      </c>
      <c r="T148" s="23">
        <v>2000</v>
      </c>
      <c r="U148" s="23">
        <v>1785</v>
      </c>
      <c r="V148" s="7" t="s">
        <v>603</v>
      </c>
      <c r="W148" s="82">
        <f t="shared" si="28"/>
        <v>0</v>
      </c>
      <c r="X148" s="79"/>
      <c r="AA148" s="82">
        <v>0</v>
      </c>
      <c r="AB148" s="82"/>
      <c r="AC148" s="82"/>
      <c r="AD148" s="23"/>
      <c r="AE148" s="7" t="s">
        <v>414</v>
      </c>
      <c r="AH148" s="23">
        <f>SUM('2020 detail'!J148:U148)+'2020 detail'!AA148+'2020 detail'!AB148</f>
        <v>23785</v>
      </c>
      <c r="AJ148" s="23">
        <f t="shared" si="31"/>
        <v>0</v>
      </c>
      <c r="AL148" t="str">
        <f t="shared" si="29"/>
        <v>Same</v>
      </c>
      <c r="AQ148" s="23">
        <v>1785</v>
      </c>
      <c r="AR148" t="s">
        <v>1115</v>
      </c>
    </row>
    <row r="149" spans="1:44" x14ac:dyDescent="0.2">
      <c r="A149" s="144" t="s">
        <v>125</v>
      </c>
      <c r="B149" s="9" t="s">
        <v>495</v>
      </c>
      <c r="C149" s="9" t="s">
        <v>495</v>
      </c>
      <c r="D149" s="9" t="s">
        <v>495</v>
      </c>
      <c r="E149" s="9"/>
      <c r="F149" s="9" t="s">
        <v>495</v>
      </c>
      <c r="G149" s="83">
        <v>69035</v>
      </c>
      <c r="H149" s="83">
        <f t="shared" si="26"/>
        <v>36000</v>
      </c>
      <c r="I149" s="133">
        <f t="shared" si="30"/>
        <v>0.52149999999999996</v>
      </c>
      <c r="J149" s="82">
        <v>3000</v>
      </c>
      <c r="K149" s="82">
        <v>3000</v>
      </c>
      <c r="L149" s="82">
        <v>3000</v>
      </c>
      <c r="M149" s="82">
        <v>0</v>
      </c>
      <c r="N149" s="82">
        <v>6000</v>
      </c>
      <c r="O149" s="82">
        <v>3000</v>
      </c>
      <c r="P149" s="82">
        <v>3000</v>
      </c>
      <c r="Q149" s="82">
        <v>3000</v>
      </c>
      <c r="R149" s="82">
        <v>3000</v>
      </c>
      <c r="S149" s="23">
        <v>3000</v>
      </c>
      <c r="T149" s="23">
        <v>3000</v>
      </c>
      <c r="U149" s="23">
        <v>3000</v>
      </c>
      <c r="V149" s="7" t="s">
        <v>604</v>
      </c>
      <c r="W149" s="82">
        <f t="shared" si="28"/>
        <v>33035</v>
      </c>
      <c r="X149" s="79"/>
      <c r="AA149" s="82">
        <v>0</v>
      </c>
      <c r="AB149" s="82"/>
      <c r="AC149" s="82"/>
      <c r="AD149" s="23"/>
      <c r="AE149" s="7" t="s">
        <v>415</v>
      </c>
      <c r="AH149" s="23">
        <f>SUM('2020 detail'!J149:U149)+'2020 detail'!AA149+'2020 detail'!AB149</f>
        <v>46000</v>
      </c>
      <c r="AJ149" s="23">
        <f t="shared" si="31"/>
        <v>-10000</v>
      </c>
      <c r="AL149" t="str">
        <f t="shared" si="29"/>
        <v>Down</v>
      </c>
      <c r="AQ149" s="23">
        <v>3000</v>
      </c>
    </row>
    <row r="150" spans="1:44" x14ac:dyDescent="0.2">
      <c r="A150" s="144" t="s">
        <v>126</v>
      </c>
      <c r="B150" s="9" t="s">
        <v>495</v>
      </c>
      <c r="C150" s="9" t="s">
        <v>495</v>
      </c>
      <c r="D150" s="9">
        <v>0</v>
      </c>
      <c r="E150" s="9"/>
      <c r="F150" s="9">
        <v>0</v>
      </c>
      <c r="G150" s="83">
        <v>28395</v>
      </c>
      <c r="H150" s="83">
        <f t="shared" si="26"/>
        <v>19500</v>
      </c>
      <c r="I150" s="133">
        <f t="shared" si="30"/>
        <v>0.68669999999999998</v>
      </c>
      <c r="J150" s="82">
        <v>3000</v>
      </c>
      <c r="K150" s="82">
        <v>3000</v>
      </c>
      <c r="L150" s="82"/>
      <c r="M150" s="82">
        <v>2500</v>
      </c>
      <c r="N150" s="82"/>
      <c r="O150" s="82">
        <v>3000</v>
      </c>
      <c r="P150" s="82">
        <v>3000</v>
      </c>
      <c r="Q150" s="82"/>
      <c r="R150" s="82">
        <v>3000</v>
      </c>
      <c r="S150" s="23"/>
      <c r="T150" s="23"/>
      <c r="U150" s="23">
        <v>2000</v>
      </c>
      <c r="V150" s="7" t="s">
        <v>605</v>
      </c>
      <c r="W150" s="82">
        <f t="shared" si="28"/>
        <v>8895</v>
      </c>
      <c r="X150" s="79"/>
      <c r="AA150" s="82">
        <v>0</v>
      </c>
      <c r="AB150" s="82"/>
      <c r="AC150" s="82"/>
      <c r="AD150" s="23"/>
      <c r="AE150" s="7" t="s">
        <v>411</v>
      </c>
      <c r="AH150" s="23">
        <f>SUM('2020 detail'!J150:U150)+'2020 detail'!AA150+'2020 detail'!AB150</f>
        <v>18000</v>
      </c>
      <c r="AJ150" s="23">
        <f t="shared" si="31"/>
        <v>1500</v>
      </c>
      <c r="AL150" t="str">
        <f t="shared" si="29"/>
        <v>Up</v>
      </c>
      <c r="AQ150" s="23">
        <v>2000</v>
      </c>
    </row>
    <row r="151" spans="1:44" x14ac:dyDescent="0.2">
      <c r="A151" s="144" t="s">
        <v>127</v>
      </c>
      <c r="B151" s="9">
        <v>0</v>
      </c>
      <c r="C151" s="9" t="s">
        <v>495</v>
      </c>
      <c r="D151" s="9" t="s">
        <v>495</v>
      </c>
      <c r="E151" s="9"/>
      <c r="F151" s="9" t="s">
        <v>495</v>
      </c>
      <c r="G151" s="83">
        <v>28505</v>
      </c>
      <c r="H151" s="83">
        <f t="shared" si="26"/>
        <v>13800</v>
      </c>
      <c r="I151" s="133">
        <f t="shared" si="30"/>
        <v>0.48409999999999997</v>
      </c>
      <c r="J151" s="82">
        <v>2300</v>
      </c>
      <c r="K151" s="82"/>
      <c r="L151" s="82"/>
      <c r="M151" s="82"/>
      <c r="N151" s="82"/>
      <c r="O151" s="82"/>
      <c r="P151" s="82"/>
      <c r="Q151" s="82">
        <v>2300</v>
      </c>
      <c r="R151" s="82">
        <v>2300</v>
      </c>
      <c r="S151" s="23">
        <v>2300</v>
      </c>
      <c r="T151" s="23">
        <v>2300</v>
      </c>
      <c r="U151" s="23">
        <v>2300</v>
      </c>
      <c r="V151" s="7" t="s">
        <v>606</v>
      </c>
      <c r="W151" s="82">
        <f t="shared" si="28"/>
        <v>14705</v>
      </c>
      <c r="X151" s="79"/>
      <c r="AA151" s="82">
        <v>0</v>
      </c>
      <c r="AB151" s="82"/>
      <c r="AC151" s="82"/>
      <c r="AD151" s="23"/>
      <c r="AE151" s="7" t="s">
        <v>416</v>
      </c>
      <c r="AH151" s="23">
        <f>SUM('2020 detail'!J151:U151)+'2020 detail'!AA151+'2020 detail'!AB151</f>
        <v>4600</v>
      </c>
      <c r="AJ151" s="23">
        <f t="shared" si="31"/>
        <v>9200</v>
      </c>
      <c r="AL151" t="str">
        <f t="shared" si="29"/>
        <v>Up</v>
      </c>
      <c r="AQ151" s="23">
        <v>2300</v>
      </c>
    </row>
    <row r="152" spans="1:44" x14ac:dyDescent="0.2">
      <c r="A152" s="144" t="s">
        <v>128</v>
      </c>
      <c r="B152" s="9" t="s">
        <v>495</v>
      </c>
      <c r="C152" s="9" t="s">
        <v>495</v>
      </c>
      <c r="D152" s="9" t="s">
        <v>495</v>
      </c>
      <c r="E152" s="9"/>
      <c r="F152" s="9">
        <v>0</v>
      </c>
      <c r="G152" s="83">
        <v>65787</v>
      </c>
      <c r="H152" s="83">
        <f t="shared" si="26"/>
        <v>46310</v>
      </c>
      <c r="I152" s="133">
        <f t="shared" si="30"/>
        <v>0.70389999999999997</v>
      </c>
      <c r="J152" s="82">
        <v>0</v>
      </c>
      <c r="K152" s="82">
        <v>3000</v>
      </c>
      <c r="L152" s="82">
        <v>3540</v>
      </c>
      <c r="M152" s="82">
        <v>3170</v>
      </c>
      <c r="N152" s="82">
        <v>4200</v>
      </c>
      <c r="O152" s="82">
        <v>3850</v>
      </c>
      <c r="P152" s="82">
        <v>3100</v>
      </c>
      <c r="Q152" s="82">
        <v>2200</v>
      </c>
      <c r="R152" s="82">
        <v>8500</v>
      </c>
      <c r="S152" s="23">
        <v>4800</v>
      </c>
      <c r="T152" s="23">
        <v>4800</v>
      </c>
      <c r="U152" s="23">
        <v>5150</v>
      </c>
      <c r="V152" s="7" t="s">
        <v>607</v>
      </c>
      <c r="W152" s="82">
        <f t="shared" si="28"/>
        <v>19477</v>
      </c>
      <c r="X152" s="79"/>
      <c r="AA152" s="82">
        <v>0</v>
      </c>
      <c r="AB152" s="82"/>
      <c r="AC152" s="82"/>
      <c r="AD152" s="23"/>
      <c r="AE152" s="7" t="s">
        <v>417</v>
      </c>
      <c r="AH152" s="23">
        <f>SUM('2020 detail'!J152:U152)+'2020 detail'!AA152+'2020 detail'!AB152</f>
        <v>32814</v>
      </c>
      <c r="AJ152" s="23">
        <f t="shared" si="31"/>
        <v>13496</v>
      </c>
      <c r="AL152" t="str">
        <f t="shared" si="29"/>
        <v>Up</v>
      </c>
      <c r="AQ152" s="23">
        <v>5150</v>
      </c>
    </row>
    <row r="153" spans="1:44" x14ac:dyDescent="0.2">
      <c r="A153" s="144" t="s">
        <v>129</v>
      </c>
      <c r="B153" s="9" t="s">
        <v>495</v>
      </c>
      <c r="C153" s="9" t="s">
        <v>495</v>
      </c>
      <c r="D153" s="9" t="s">
        <v>495</v>
      </c>
      <c r="E153" s="9"/>
      <c r="F153" s="9" t="s">
        <v>495</v>
      </c>
      <c r="G153" s="83">
        <v>6000</v>
      </c>
      <c r="H153" s="83">
        <f t="shared" si="26"/>
        <v>6000</v>
      </c>
      <c r="I153" s="133">
        <f t="shared" si="30"/>
        <v>1</v>
      </c>
      <c r="J153" s="82">
        <v>200</v>
      </c>
      <c r="K153" s="82">
        <v>200</v>
      </c>
      <c r="L153" s="82">
        <v>560</v>
      </c>
      <c r="M153" s="82">
        <v>560</v>
      </c>
      <c r="N153" s="82">
        <v>560</v>
      </c>
      <c r="O153" s="82">
        <v>560</v>
      </c>
      <c r="P153" s="82">
        <v>560</v>
      </c>
      <c r="Q153" s="82">
        <v>560</v>
      </c>
      <c r="R153" s="82">
        <v>560</v>
      </c>
      <c r="S153" s="23">
        <v>560</v>
      </c>
      <c r="T153" s="23">
        <v>560</v>
      </c>
      <c r="U153" s="23">
        <v>560</v>
      </c>
      <c r="V153" s="7" t="s">
        <v>608</v>
      </c>
      <c r="W153" s="82">
        <f t="shared" si="28"/>
        <v>0</v>
      </c>
      <c r="X153" s="79"/>
      <c r="AA153" s="82">
        <v>0</v>
      </c>
      <c r="AB153" s="82"/>
      <c r="AC153" s="82"/>
      <c r="AD153" s="23"/>
      <c r="AE153" s="7" t="s">
        <v>413</v>
      </c>
      <c r="AH153" s="23">
        <f>SUM('2020 detail'!J153:U153)+'2020 detail'!AA153+'2020 detail'!AB153</f>
        <v>6000</v>
      </c>
      <c r="AJ153" s="23">
        <f t="shared" si="31"/>
        <v>0</v>
      </c>
      <c r="AL153" t="str">
        <f t="shared" si="29"/>
        <v>Same</v>
      </c>
      <c r="AQ153" s="23">
        <v>560</v>
      </c>
    </row>
    <row r="154" spans="1:44" x14ac:dyDescent="0.2">
      <c r="A154" s="144" t="s">
        <v>130</v>
      </c>
      <c r="B154" s="9" t="s">
        <v>495</v>
      </c>
      <c r="C154" s="9" t="s">
        <v>495</v>
      </c>
      <c r="D154" s="9" t="s">
        <v>495</v>
      </c>
      <c r="E154" s="9"/>
      <c r="F154" s="9">
        <v>0</v>
      </c>
      <c r="G154" s="83">
        <v>64599</v>
      </c>
      <c r="H154" s="83">
        <f t="shared" si="26"/>
        <v>22500</v>
      </c>
      <c r="I154" s="133">
        <f t="shared" si="30"/>
        <v>0.3483</v>
      </c>
      <c r="J154" s="82">
        <v>2500</v>
      </c>
      <c r="K154" s="82">
        <v>2500</v>
      </c>
      <c r="L154" s="82">
        <v>2500</v>
      </c>
      <c r="M154" s="82">
        <v>2500</v>
      </c>
      <c r="N154" s="82">
        <v>2500</v>
      </c>
      <c r="O154" s="82">
        <v>2500</v>
      </c>
      <c r="P154" s="82">
        <v>2500</v>
      </c>
      <c r="Q154" s="82">
        <v>2500</v>
      </c>
      <c r="R154" s="82">
        <v>2500</v>
      </c>
      <c r="S154" s="23"/>
      <c r="T154" s="23"/>
      <c r="U154" s="23"/>
      <c r="V154" s="7" t="s">
        <v>609</v>
      </c>
      <c r="W154" s="82">
        <f t="shared" si="28"/>
        <v>42099</v>
      </c>
      <c r="X154" s="79"/>
      <c r="AA154" s="82">
        <v>0</v>
      </c>
      <c r="AB154" s="82"/>
      <c r="AC154" s="82"/>
      <c r="AD154" s="23"/>
      <c r="AE154" s="7" t="s">
        <v>418</v>
      </c>
      <c r="AH154" s="23">
        <f>SUM('2020 detail'!J154:U154)+'2020 detail'!AA154+'2020 detail'!AB154</f>
        <v>30000</v>
      </c>
      <c r="AJ154" s="23">
        <f t="shared" si="31"/>
        <v>-7500</v>
      </c>
      <c r="AL154" t="str">
        <f t="shared" si="29"/>
        <v>Down</v>
      </c>
    </row>
    <row r="155" spans="1:44" x14ac:dyDescent="0.2">
      <c r="A155" s="144" t="s">
        <v>376</v>
      </c>
      <c r="B155" s="9" t="s">
        <v>495</v>
      </c>
      <c r="C155" s="9" t="s">
        <v>495</v>
      </c>
      <c r="D155" s="9" t="s">
        <v>495</v>
      </c>
      <c r="E155" s="9"/>
      <c r="F155" s="9">
        <v>0</v>
      </c>
      <c r="G155" s="83">
        <v>21841</v>
      </c>
      <c r="H155" s="83">
        <f t="shared" si="26"/>
        <v>12000</v>
      </c>
      <c r="I155" s="133">
        <f t="shared" si="30"/>
        <v>0.5494</v>
      </c>
      <c r="J155" s="82">
        <v>0</v>
      </c>
      <c r="K155" s="82">
        <v>350</v>
      </c>
      <c r="L155" s="82">
        <v>700</v>
      </c>
      <c r="M155" s="82">
        <v>350</v>
      </c>
      <c r="N155" s="82"/>
      <c r="O155" s="82">
        <v>700</v>
      </c>
      <c r="P155" s="82"/>
      <c r="Q155" s="82">
        <v>700</v>
      </c>
      <c r="R155" s="82">
        <v>350</v>
      </c>
      <c r="T155" s="23">
        <v>700</v>
      </c>
      <c r="U155" s="23">
        <v>2150</v>
      </c>
      <c r="V155" s="7" t="s">
        <v>377</v>
      </c>
      <c r="W155" s="82">
        <f t="shared" si="28"/>
        <v>9841</v>
      </c>
      <c r="X155" s="79"/>
      <c r="AA155" s="82">
        <v>0</v>
      </c>
      <c r="AB155" s="82">
        <v>6000</v>
      </c>
      <c r="AC155" s="82"/>
      <c r="AD155" s="23"/>
      <c r="AE155" s="7" t="s">
        <v>1131</v>
      </c>
      <c r="AF155" t="s">
        <v>408</v>
      </c>
      <c r="AH155" s="23">
        <f>SUM('2020 detail'!J155:U155)+'2020 detail'!AA155+'2020 detail'!AB155</f>
        <v>6000</v>
      </c>
      <c r="AJ155" s="23">
        <f t="shared" si="31"/>
        <v>6000</v>
      </c>
      <c r="AL155" t="str">
        <f t="shared" si="29"/>
        <v>Up</v>
      </c>
      <c r="AQ155" s="23">
        <v>2150</v>
      </c>
    </row>
    <row r="156" spans="1:44" x14ac:dyDescent="0.2">
      <c r="G156" s="83"/>
      <c r="H156" s="83"/>
      <c r="I156" s="133"/>
      <c r="X156" s="79"/>
      <c r="AJ156" s="23"/>
    </row>
    <row r="157" spans="1:44" x14ac:dyDescent="0.2">
      <c r="A157" s="235" t="s">
        <v>1056</v>
      </c>
      <c r="G157" s="83">
        <f>SUM(G129:G156)</f>
        <v>1509284</v>
      </c>
      <c r="H157" s="83">
        <f>SUM(H129:H156)</f>
        <v>1095075.04</v>
      </c>
      <c r="I157" s="133">
        <f t="shared" ref="I157:I158" si="32">ROUND((H157/G157),4)</f>
        <v>0.72560000000000002</v>
      </c>
      <c r="J157" s="83">
        <f>SUM(J129:J156)</f>
        <v>68437.33</v>
      </c>
      <c r="K157" s="83">
        <f t="shared" ref="K157:W157" si="33">SUM(K129:K156)</f>
        <v>93216.08</v>
      </c>
      <c r="L157" s="83">
        <f t="shared" si="33"/>
        <v>78656.08</v>
      </c>
      <c r="M157" s="83">
        <f t="shared" si="33"/>
        <v>87317.33</v>
      </c>
      <c r="N157" s="83">
        <f t="shared" si="33"/>
        <v>90020.77</v>
      </c>
      <c r="O157" s="83">
        <f t="shared" si="33"/>
        <v>94270.77</v>
      </c>
      <c r="P157" s="83">
        <f t="shared" si="33"/>
        <v>86320.77</v>
      </c>
      <c r="Q157" s="83">
        <f t="shared" si="33"/>
        <v>92856.08</v>
      </c>
      <c r="R157" s="83">
        <f t="shared" si="33"/>
        <v>94070.77</v>
      </c>
      <c r="S157" s="4">
        <f t="shared" si="33"/>
        <v>75312.33</v>
      </c>
      <c r="T157" s="4">
        <f t="shared" si="33"/>
        <v>73667.02</v>
      </c>
      <c r="U157" s="4">
        <f t="shared" si="33"/>
        <v>137929.71000000002</v>
      </c>
      <c r="V157" s="77"/>
      <c r="W157" s="82">
        <f t="shared" si="33"/>
        <v>414208.95999999996</v>
      </c>
      <c r="X157" s="79"/>
      <c r="Y157" s="77"/>
      <c r="Z157" s="77"/>
      <c r="AA157" s="83">
        <f>SUM(AA129:AA156)</f>
        <v>17000</v>
      </c>
      <c r="AB157" s="83">
        <f t="shared" ref="AB157:AC157" si="34">SUM(AB129:AB156)</f>
        <v>6000</v>
      </c>
      <c r="AC157" s="83">
        <f t="shared" si="34"/>
        <v>0</v>
      </c>
      <c r="AD157" s="4"/>
      <c r="AH157" s="23">
        <f>SUM(AH129:AH156)</f>
        <v>1137089.3600000001</v>
      </c>
      <c r="AJ157" s="23">
        <f t="shared" si="31"/>
        <v>-42014.320000000065</v>
      </c>
      <c r="AM157" s="11">
        <f>SUM(J157:R157)+SUM(S158:U158)+SUM('2020 detail'!AA156:AC156)</f>
        <v>1086867.31</v>
      </c>
      <c r="AN157" s="24">
        <f>ROUND((AM157/G157),4)</f>
        <v>0.72009999999999996</v>
      </c>
      <c r="AO157" s="24">
        <f>ROUND((SUM(J158:U158)/G158),4)</f>
        <v>0.73419999999999996</v>
      </c>
      <c r="AQ157" s="23">
        <f>SUM(AQ129:AQ156)</f>
        <v>137929.71000000002</v>
      </c>
    </row>
    <row r="158" spans="1:44" x14ac:dyDescent="0.2">
      <c r="A158" s="236" t="s">
        <v>1057</v>
      </c>
      <c r="G158" s="206">
        <f>'2020 detail'!G157</f>
        <v>1509283.75</v>
      </c>
      <c r="H158" s="206">
        <f>SUM(J158:AC158)</f>
        <v>1137089.3599999999</v>
      </c>
      <c r="I158" s="207">
        <f t="shared" si="32"/>
        <v>0.75339999999999996</v>
      </c>
      <c r="J158" s="206">
        <f>'2020 detail'!J157</f>
        <v>70552.06</v>
      </c>
      <c r="K158" s="206">
        <f>'2020 detail'!K157</f>
        <v>81562.899999999994</v>
      </c>
      <c r="L158" s="206">
        <f>'2020 detail'!L157</f>
        <v>97443.900000000009</v>
      </c>
      <c r="M158" s="206">
        <f>'2020 detail'!M157</f>
        <v>74727.489999999991</v>
      </c>
      <c r="N158" s="206">
        <f>'2020 detail'!N157</f>
        <v>91784.989999999991</v>
      </c>
      <c r="O158" s="206">
        <f>'2020 detail'!O157</f>
        <v>143894.35999999999</v>
      </c>
      <c r="P158" s="206">
        <f>'2020 detail'!P157</f>
        <v>76114.11</v>
      </c>
      <c r="Q158" s="206">
        <f>'2020 detail'!Q157</f>
        <v>99194.11</v>
      </c>
      <c r="R158" s="206">
        <f>'2020 detail'!R157</f>
        <v>71114.11</v>
      </c>
      <c r="S158" s="165">
        <f>'2020 detail'!S157</f>
        <v>79146.11</v>
      </c>
      <c r="T158" s="165">
        <f>'2020 detail'!T157</f>
        <v>83239.11</v>
      </c>
      <c r="U158" s="165">
        <f>'2020 detail'!U157</f>
        <v>139316.10999999999</v>
      </c>
      <c r="X158" s="79"/>
      <c r="AA158" s="165">
        <f>'2020 detail'!AA157</f>
        <v>26000</v>
      </c>
      <c r="AB158" s="165">
        <f>'2020 detail'!AB157</f>
        <v>3000</v>
      </c>
      <c r="AC158" s="165">
        <f>'2020 detail'!AC157</f>
        <v>0</v>
      </c>
      <c r="AJ158" s="23"/>
    </row>
    <row r="159" spans="1:44" x14ac:dyDescent="0.2">
      <c r="X159" s="79"/>
      <c r="AJ159" s="23"/>
    </row>
    <row r="160" spans="1:44" ht="15.75" x14ac:dyDescent="0.25">
      <c r="G160" s="196" t="s">
        <v>10</v>
      </c>
      <c r="X160" s="79"/>
      <c r="AH160" s="171" t="s">
        <v>1067</v>
      </c>
      <c r="AI160" s="172"/>
      <c r="AJ160" s="171" t="s">
        <v>1064</v>
      </c>
    </row>
    <row r="161" spans="1:43" x14ac:dyDescent="0.2">
      <c r="AH161" s="171" t="s">
        <v>1096</v>
      </c>
      <c r="AI161" s="172"/>
      <c r="AJ161" s="171" t="s">
        <v>1065</v>
      </c>
    </row>
    <row r="162" spans="1:43" ht="16.5" x14ac:dyDescent="0.25">
      <c r="A162" s="6"/>
      <c r="B162" s="8"/>
      <c r="C162" s="8"/>
      <c r="E162" s="8"/>
      <c r="F162" s="8"/>
      <c r="G162" s="208" t="str">
        <f>$G$3</f>
        <v>2021 PARISH SHARE INFORMATION AS AT 22 FEBRUARY 2022</v>
      </c>
      <c r="H162" s="209"/>
      <c r="W162" s="194"/>
      <c r="X162"/>
      <c r="Y162"/>
      <c r="Z162"/>
      <c r="AA162"/>
      <c r="AB162"/>
      <c r="AC162"/>
      <c r="AH162" s="172"/>
      <c r="AI162" s="172"/>
      <c r="AJ162" s="171" t="s">
        <v>1066</v>
      </c>
    </row>
    <row r="163" spans="1:43" x14ac:dyDescent="0.2">
      <c r="A163" s="6"/>
      <c r="G163" s="205"/>
      <c r="H163" s="197"/>
      <c r="W163" s="194"/>
      <c r="X163"/>
      <c r="Y163"/>
      <c r="Z163"/>
      <c r="AA163"/>
      <c r="AB163"/>
      <c r="AC163"/>
      <c r="AJ163" s="23"/>
    </row>
    <row r="164" spans="1:43" ht="16.5" x14ac:dyDescent="0.25">
      <c r="A164" s="204" t="s">
        <v>1</v>
      </c>
      <c r="B164" s="151" t="str">
        <f>$B$5</f>
        <v>RM</v>
      </c>
      <c r="C164" s="151" t="str">
        <f>$C$5</f>
        <v>RF</v>
      </c>
      <c r="D164" s="151" t="str">
        <f>$D$5</f>
        <v>Accts</v>
      </c>
      <c r="E164" s="151"/>
      <c r="F164" s="151" t="str">
        <f>$F$5</f>
        <v>Share DD</v>
      </c>
      <c r="G164" s="210" t="str">
        <f>$G$5</f>
        <v xml:space="preserve">2021 Share </v>
      </c>
      <c r="H164" s="211" t="str">
        <f>$H$5</f>
        <v xml:space="preserve">2021 Paid </v>
      </c>
      <c r="I164" s="211" t="str">
        <f>$I$5</f>
        <v xml:space="preserve">% Paid </v>
      </c>
      <c r="J164" s="212">
        <f>$J$5</f>
        <v>44227</v>
      </c>
      <c r="K164" s="212">
        <f>$K$5</f>
        <v>44255</v>
      </c>
      <c r="L164" s="212">
        <f>$L$5</f>
        <v>44286</v>
      </c>
      <c r="M164" s="212">
        <f>$M$5</f>
        <v>44316</v>
      </c>
      <c r="N164" s="212">
        <f>$N$5</f>
        <v>44347</v>
      </c>
      <c r="O164" s="212">
        <f>$O$5</f>
        <v>44377</v>
      </c>
      <c r="P164" s="212">
        <f>$P$5</f>
        <v>44408</v>
      </c>
      <c r="Q164" s="212">
        <f>$Q$5</f>
        <v>44439</v>
      </c>
      <c r="R164" s="212">
        <f>$R$5</f>
        <v>44469</v>
      </c>
      <c r="S164" s="155">
        <f>$S$5</f>
        <v>44500</v>
      </c>
      <c r="T164" s="155">
        <f>$T$5</f>
        <v>44530</v>
      </c>
      <c r="U164" s="155">
        <f>$U$5</f>
        <v>44561</v>
      </c>
      <c r="V164" s="78"/>
      <c r="W164" s="195" t="str">
        <f>$W$5</f>
        <v xml:space="preserve">Outstanding </v>
      </c>
      <c r="X164" s="2"/>
      <c r="Y164" s="2"/>
      <c r="Z164" s="2"/>
      <c r="AA164" s="2">
        <f>$AA$5</f>
        <v>44592</v>
      </c>
      <c r="AB164" s="2">
        <f>$AB$5</f>
        <v>44620</v>
      </c>
      <c r="AC164" s="2">
        <f>$AC$5</f>
        <v>44651</v>
      </c>
      <c r="AE164" s="152" t="str">
        <f>$AE$5</f>
        <v>Benefice</v>
      </c>
      <c r="AH164" s="16" t="s">
        <v>1062</v>
      </c>
      <c r="AJ164" s="170" t="s">
        <v>1063</v>
      </c>
      <c r="AQ164" s="222">
        <f>AQ5</f>
        <v>44588</v>
      </c>
    </row>
    <row r="165" spans="1:43" ht="16.5" x14ac:dyDescent="0.25">
      <c r="A165" s="6"/>
      <c r="G165" s="201" t="s">
        <v>1040</v>
      </c>
      <c r="H165" s="202" t="s">
        <v>1040</v>
      </c>
      <c r="I165" s="203"/>
      <c r="J165" s="202" t="s">
        <v>1040</v>
      </c>
      <c r="K165" s="202" t="s">
        <v>1040</v>
      </c>
      <c r="L165" s="202" t="s">
        <v>1040</v>
      </c>
      <c r="M165" s="202" t="s">
        <v>1040</v>
      </c>
      <c r="N165" s="202" t="s">
        <v>1040</v>
      </c>
      <c r="O165" s="202" t="s">
        <v>1040</v>
      </c>
      <c r="P165" s="202" t="s">
        <v>1040</v>
      </c>
      <c r="Q165" s="202" t="s">
        <v>1040</v>
      </c>
      <c r="R165" s="202" t="s">
        <v>1040</v>
      </c>
      <c r="S165" s="147" t="s">
        <v>1040</v>
      </c>
      <c r="T165" s="147" t="s">
        <v>1040</v>
      </c>
      <c r="U165" s="147" t="s">
        <v>1040</v>
      </c>
      <c r="W165" s="194"/>
      <c r="X165"/>
      <c r="Y165"/>
      <c r="Z165"/>
      <c r="AA165"/>
      <c r="AB165"/>
      <c r="AC165"/>
      <c r="AJ165" s="23"/>
    </row>
    <row r="166" spans="1:43" x14ac:dyDescent="0.2">
      <c r="AJ166" s="23"/>
    </row>
    <row r="167" spans="1:43" x14ac:dyDescent="0.2">
      <c r="A167" s="144" t="s">
        <v>131</v>
      </c>
      <c r="B167" s="9" t="s">
        <v>495</v>
      </c>
      <c r="C167" s="9">
        <v>0</v>
      </c>
      <c r="D167" s="9" t="s">
        <v>495</v>
      </c>
      <c r="E167" s="9"/>
      <c r="F167" s="9">
        <v>0</v>
      </c>
      <c r="G167" s="83">
        <v>7810</v>
      </c>
      <c r="H167" s="83">
        <f t="shared" ref="H167:H210" si="35">SUM(J167:U167)+SUM(AA167:AC167)</f>
        <v>3523</v>
      </c>
      <c r="I167" s="133">
        <f t="shared" ref="I167" si="36">ROUND((H167/G167),4)</f>
        <v>0.4511</v>
      </c>
      <c r="J167" s="82">
        <v>225</v>
      </c>
      <c r="K167" s="82">
        <v>225</v>
      </c>
      <c r="L167" s="82">
        <v>225</v>
      </c>
      <c r="M167" s="82">
        <v>225</v>
      </c>
      <c r="N167" s="82">
        <v>225</v>
      </c>
      <c r="O167" s="82">
        <v>225</v>
      </c>
      <c r="P167" s="82">
        <v>225</v>
      </c>
      <c r="Q167" s="82">
        <v>225</v>
      </c>
      <c r="R167" s="82">
        <v>225</v>
      </c>
      <c r="S167" s="23">
        <v>225</v>
      </c>
      <c r="T167" s="23">
        <v>225</v>
      </c>
      <c r="U167" s="23">
        <v>1048</v>
      </c>
      <c r="V167" s="7" t="s">
        <v>610</v>
      </c>
      <c r="W167" s="82">
        <f t="shared" ref="W167:W210" si="37">G167-H167</f>
        <v>4287</v>
      </c>
      <c r="X167" s="4"/>
      <c r="Y167" s="4"/>
      <c r="Z167" s="4"/>
      <c r="AA167" s="82">
        <v>0</v>
      </c>
      <c r="AB167" s="82"/>
      <c r="AC167" s="82"/>
      <c r="AD167" s="23"/>
      <c r="AE167" s="7" t="s">
        <v>419</v>
      </c>
      <c r="AH167" s="23">
        <f>SUM('2020 detail'!J167:U167)+'2020 detail'!AA167+'2020 detail'!AB167</f>
        <v>3818</v>
      </c>
      <c r="AJ167" s="23">
        <f t="shared" si="31"/>
        <v>-295</v>
      </c>
      <c r="AL167" t="str">
        <f t="shared" ref="AL167:AL210" si="38">IF(AJ167&lt;0,"Down",IF(AJ167&gt;0,"Up","Same"))</f>
        <v>Down</v>
      </c>
      <c r="AQ167" s="23">
        <v>1048</v>
      </c>
    </row>
    <row r="168" spans="1:43" ht="15.95" customHeight="1" x14ac:dyDescent="0.2">
      <c r="A168" s="144" t="s">
        <v>132</v>
      </c>
      <c r="B168" s="9">
        <v>0</v>
      </c>
      <c r="C168" s="9">
        <v>0</v>
      </c>
      <c r="D168" s="9">
        <v>0</v>
      </c>
      <c r="E168" s="9"/>
      <c r="F168" s="9">
        <v>0</v>
      </c>
      <c r="G168" s="83">
        <v>0</v>
      </c>
      <c r="H168" s="83">
        <f t="shared" si="35"/>
        <v>0</v>
      </c>
      <c r="I168" s="133" t="e">
        <f t="shared" ref="I168:I210" si="39">ROUND((H168/G168),4)</f>
        <v>#DIV/0!</v>
      </c>
      <c r="J168" s="82">
        <v>0</v>
      </c>
      <c r="K168" s="82"/>
      <c r="L168" s="82"/>
      <c r="M168" s="82"/>
      <c r="N168" s="82"/>
      <c r="O168" s="82"/>
      <c r="P168" s="82"/>
      <c r="Q168" s="82"/>
      <c r="R168" s="82"/>
      <c r="S168" s="23"/>
      <c r="T168" s="23"/>
      <c r="U168" s="23"/>
      <c r="V168" s="7" t="s">
        <v>611</v>
      </c>
      <c r="W168" s="82">
        <f t="shared" si="37"/>
        <v>0</v>
      </c>
      <c r="AA168" s="82">
        <v>0</v>
      </c>
      <c r="AB168" s="82"/>
      <c r="AC168" s="82"/>
      <c r="AD168" s="23"/>
      <c r="AE168" s="7" t="s">
        <v>419</v>
      </c>
      <c r="AH168" s="23">
        <f>SUM('2020 detail'!J168:U168)+'2020 detail'!AA168+'2020 detail'!AB168</f>
        <v>0</v>
      </c>
      <c r="AJ168" s="23">
        <f t="shared" si="31"/>
        <v>0</v>
      </c>
      <c r="AL168" t="str">
        <f t="shared" si="38"/>
        <v>Same</v>
      </c>
    </row>
    <row r="169" spans="1:43" x14ac:dyDescent="0.2">
      <c r="A169" s="144" t="s">
        <v>133</v>
      </c>
      <c r="B169" s="9" t="s">
        <v>495</v>
      </c>
      <c r="C169" s="9">
        <v>0</v>
      </c>
      <c r="D169" s="9">
        <v>0</v>
      </c>
      <c r="E169" s="9"/>
      <c r="F169" s="9">
        <v>0</v>
      </c>
      <c r="G169" s="83">
        <v>8326</v>
      </c>
      <c r="H169" s="83">
        <f t="shared" si="35"/>
        <v>8326</v>
      </c>
      <c r="I169" s="133">
        <f t="shared" si="39"/>
        <v>1</v>
      </c>
      <c r="J169" s="82">
        <v>0</v>
      </c>
      <c r="K169" s="82"/>
      <c r="L169" s="82"/>
      <c r="M169" s="82"/>
      <c r="N169" s="82"/>
      <c r="O169" s="82"/>
      <c r="P169" s="82"/>
      <c r="Q169" s="82"/>
      <c r="R169" s="82"/>
      <c r="S169" s="23"/>
      <c r="T169" s="23"/>
      <c r="U169" s="23"/>
      <c r="V169" s="7" t="s">
        <v>612</v>
      </c>
      <c r="W169" s="82">
        <f t="shared" si="37"/>
        <v>0</v>
      </c>
      <c r="AA169" s="82">
        <f>3950+4376</f>
        <v>8326</v>
      </c>
      <c r="AB169" s="82"/>
      <c r="AC169" s="82"/>
      <c r="AD169" s="23"/>
      <c r="AE169" s="7" t="s">
        <v>419</v>
      </c>
      <c r="AH169" s="23">
        <f>SUM('2020 detail'!J169:U169)+'2020 detail'!AA169+'2020 detail'!AB169</f>
        <v>8329</v>
      </c>
      <c r="AJ169" s="23">
        <f t="shared" si="31"/>
        <v>-3</v>
      </c>
      <c r="AL169" t="str">
        <f t="shared" si="38"/>
        <v>Down</v>
      </c>
    </row>
    <row r="170" spans="1:43" x14ac:dyDescent="0.2">
      <c r="A170" s="144" t="s">
        <v>134</v>
      </c>
      <c r="B170" s="9" t="s">
        <v>495</v>
      </c>
      <c r="C170" s="9" t="s">
        <v>495</v>
      </c>
      <c r="D170" s="9" t="s">
        <v>495</v>
      </c>
      <c r="E170" s="9"/>
      <c r="F170" s="9" t="s">
        <v>495</v>
      </c>
      <c r="G170" s="83">
        <v>7862</v>
      </c>
      <c r="H170" s="83">
        <f t="shared" si="35"/>
        <v>7861.9999999999991</v>
      </c>
      <c r="I170" s="133">
        <f t="shared" si="39"/>
        <v>1</v>
      </c>
      <c r="J170" s="82">
        <v>655.24</v>
      </c>
      <c r="K170" s="82">
        <v>655.16</v>
      </c>
      <c r="L170" s="82">
        <v>655.16</v>
      </c>
      <c r="M170" s="82">
        <v>655.16</v>
      </c>
      <c r="N170" s="82">
        <v>655.16</v>
      </c>
      <c r="O170" s="82">
        <v>655.16</v>
      </c>
      <c r="P170" s="82">
        <v>655.16</v>
      </c>
      <c r="Q170" s="82">
        <v>655.16</v>
      </c>
      <c r="R170" s="82">
        <v>655.16</v>
      </c>
      <c r="S170" s="23">
        <v>655.16</v>
      </c>
      <c r="T170" s="23">
        <v>655.16</v>
      </c>
      <c r="U170" s="23">
        <v>655.16</v>
      </c>
      <c r="V170" s="7" t="s">
        <v>613</v>
      </c>
      <c r="W170" s="82">
        <f t="shared" si="37"/>
        <v>0</v>
      </c>
      <c r="AA170" s="82">
        <v>0</v>
      </c>
      <c r="AB170" s="82"/>
      <c r="AC170" s="82"/>
      <c r="AD170" s="23"/>
      <c r="AE170" s="7" t="s">
        <v>419</v>
      </c>
      <c r="AH170" s="23">
        <f>SUM('2020 detail'!J170:U170)+'2020 detail'!AA170+'2020 detail'!AB170</f>
        <v>7685.0000000000018</v>
      </c>
      <c r="AJ170" s="23">
        <f t="shared" si="31"/>
        <v>176.99999999999727</v>
      </c>
      <c r="AL170" t="str">
        <f t="shared" si="38"/>
        <v>Up</v>
      </c>
      <c r="AQ170" s="23">
        <v>655.16</v>
      </c>
    </row>
    <row r="171" spans="1:43" x14ac:dyDescent="0.2">
      <c r="A171" s="144" t="s">
        <v>135</v>
      </c>
      <c r="B171" s="9" t="s">
        <v>495</v>
      </c>
      <c r="C171" s="9" t="s">
        <v>495</v>
      </c>
      <c r="D171" s="9" t="s">
        <v>495</v>
      </c>
      <c r="E171" s="9"/>
      <c r="F171" s="9">
        <v>0</v>
      </c>
      <c r="G171" s="83">
        <v>18413</v>
      </c>
      <c r="H171" s="83">
        <f t="shared" si="35"/>
        <v>11175</v>
      </c>
      <c r="I171" s="133">
        <f t="shared" si="39"/>
        <v>0.6069</v>
      </c>
      <c r="J171" s="82">
        <v>0</v>
      </c>
      <c r="K171" s="82">
        <v>1539</v>
      </c>
      <c r="L171" s="82">
        <v>3068</v>
      </c>
      <c r="M171" s="82">
        <v>1534</v>
      </c>
      <c r="N171" s="82">
        <v>1534</v>
      </c>
      <c r="O171" s="82">
        <v>500</v>
      </c>
      <c r="P171" s="82">
        <v>500</v>
      </c>
      <c r="Q171" s="82">
        <v>500</v>
      </c>
      <c r="R171" s="82">
        <v>500</v>
      </c>
      <c r="S171" s="23">
        <v>500</v>
      </c>
      <c r="T171" s="23">
        <v>500</v>
      </c>
      <c r="U171" s="23">
        <v>500</v>
      </c>
      <c r="V171" s="7" t="s">
        <v>614</v>
      </c>
      <c r="W171" s="82">
        <f t="shared" si="37"/>
        <v>7238</v>
      </c>
      <c r="AA171" s="82">
        <v>0</v>
      </c>
      <c r="AB171" s="82"/>
      <c r="AC171" s="82"/>
      <c r="AD171" s="23"/>
      <c r="AE171" s="7" t="s">
        <v>419</v>
      </c>
      <c r="AH171" s="23">
        <f>SUM('2020 detail'!J171:U171)+'2020 detail'!AA171+'2020 detail'!AB171</f>
        <v>18002</v>
      </c>
      <c r="AJ171" s="23">
        <f t="shared" si="31"/>
        <v>-6827</v>
      </c>
      <c r="AL171" t="str">
        <f t="shared" si="38"/>
        <v>Down</v>
      </c>
      <c r="AQ171" s="23">
        <v>500</v>
      </c>
    </row>
    <row r="172" spans="1:43" x14ac:dyDescent="0.2">
      <c r="A172" s="144" t="s">
        <v>136</v>
      </c>
      <c r="B172" s="9" t="s">
        <v>495</v>
      </c>
      <c r="C172" s="9" t="s">
        <v>495</v>
      </c>
      <c r="D172" s="9">
        <v>0</v>
      </c>
      <c r="E172" s="9"/>
      <c r="F172" s="9">
        <v>0</v>
      </c>
      <c r="G172" s="83">
        <v>53996</v>
      </c>
      <c r="H172" s="83">
        <f t="shared" si="35"/>
        <v>29312</v>
      </c>
      <c r="I172" s="133">
        <f t="shared" si="39"/>
        <v>0.54290000000000005</v>
      </c>
      <c r="J172" s="82">
        <v>0</v>
      </c>
      <c r="K172" s="82"/>
      <c r="L172" s="82">
        <v>9000</v>
      </c>
      <c r="M172" s="82"/>
      <c r="N172" s="82"/>
      <c r="O172" s="82"/>
      <c r="P172" s="82"/>
      <c r="Q172" s="82">
        <v>10000</v>
      </c>
      <c r="R172" s="82">
        <v>312</v>
      </c>
      <c r="S172" s="23">
        <v>10000</v>
      </c>
      <c r="T172" s="23"/>
      <c r="U172" s="23"/>
      <c r="V172" s="7" t="s">
        <v>615</v>
      </c>
      <c r="W172" s="82">
        <f t="shared" si="37"/>
        <v>24684</v>
      </c>
      <c r="AA172" s="82">
        <v>0</v>
      </c>
      <c r="AB172" s="82"/>
      <c r="AC172" s="82"/>
      <c r="AD172" s="23"/>
      <c r="AE172" s="7" t="s">
        <v>420</v>
      </c>
      <c r="AH172" s="23">
        <f>SUM('2020 detail'!J172:U172)+'2020 detail'!AA172+'2020 detail'!AB172</f>
        <v>30000</v>
      </c>
      <c r="AJ172" s="23">
        <f t="shared" si="31"/>
        <v>-688</v>
      </c>
      <c r="AL172" t="str">
        <f t="shared" si="38"/>
        <v>Down</v>
      </c>
    </row>
    <row r="173" spans="1:43" x14ac:dyDescent="0.2">
      <c r="A173" s="144" t="s">
        <v>137</v>
      </c>
      <c r="B173" s="9" t="s">
        <v>495</v>
      </c>
      <c r="C173" s="9" t="s">
        <v>495</v>
      </c>
      <c r="D173" s="9" t="s">
        <v>495</v>
      </c>
      <c r="E173" s="9"/>
      <c r="F173" s="9" t="s">
        <v>495</v>
      </c>
      <c r="G173" s="83">
        <v>13500</v>
      </c>
      <c r="H173" s="83">
        <f t="shared" si="35"/>
        <v>13800</v>
      </c>
      <c r="I173" s="133">
        <f t="shared" si="39"/>
        <v>1.0222</v>
      </c>
      <c r="J173" s="82">
        <v>1000</v>
      </c>
      <c r="K173" s="82">
        <v>1000</v>
      </c>
      <c r="L173" s="82">
        <v>1000</v>
      </c>
      <c r="M173" s="82">
        <v>1000</v>
      </c>
      <c r="N173" s="82">
        <v>1000</v>
      </c>
      <c r="O173" s="82">
        <v>1000</v>
      </c>
      <c r="P173" s="82">
        <v>1000</v>
      </c>
      <c r="Q173" s="82">
        <v>1000</v>
      </c>
      <c r="R173" s="82">
        <v>1000</v>
      </c>
      <c r="S173" s="23">
        <v>1000</v>
      </c>
      <c r="T173" s="23">
        <v>1000</v>
      </c>
      <c r="U173" s="23">
        <v>2800</v>
      </c>
      <c r="V173" s="7" t="s">
        <v>616</v>
      </c>
      <c r="W173" s="82">
        <f t="shared" si="37"/>
        <v>-300</v>
      </c>
      <c r="AA173" s="82">
        <v>0</v>
      </c>
      <c r="AB173" s="82"/>
      <c r="AC173" s="82"/>
      <c r="AD173" s="23"/>
      <c r="AE173" s="7" t="s">
        <v>420</v>
      </c>
      <c r="AH173" s="23">
        <f>SUM('2020 detail'!J173:U173)+'2020 detail'!AA173+'2020 detail'!AB173</f>
        <v>13500</v>
      </c>
      <c r="AJ173" s="23">
        <f t="shared" si="31"/>
        <v>300</v>
      </c>
      <c r="AL173" t="str">
        <f t="shared" si="38"/>
        <v>Up</v>
      </c>
      <c r="AQ173" s="23">
        <v>2800</v>
      </c>
    </row>
    <row r="174" spans="1:43" x14ac:dyDescent="0.2">
      <c r="A174" s="144" t="s">
        <v>138</v>
      </c>
      <c r="B174" s="9">
        <v>0</v>
      </c>
      <c r="C174" s="9" t="s">
        <v>495</v>
      </c>
      <c r="D174" s="9" t="s">
        <v>495</v>
      </c>
      <c r="E174" s="9"/>
      <c r="F174" s="9">
        <v>0</v>
      </c>
      <c r="G174" s="83">
        <v>8956</v>
      </c>
      <c r="H174" s="83">
        <f t="shared" si="35"/>
        <v>8956</v>
      </c>
      <c r="I174" s="133">
        <f t="shared" si="39"/>
        <v>1</v>
      </c>
      <c r="J174" s="82">
        <v>0</v>
      </c>
      <c r="K174" s="82">
        <v>2239</v>
      </c>
      <c r="L174" s="82"/>
      <c r="M174" s="82"/>
      <c r="N174" s="82">
        <v>2239</v>
      </c>
      <c r="O174" s="82"/>
      <c r="P174" s="82"/>
      <c r="Q174" s="82"/>
      <c r="R174" s="82">
        <v>2239</v>
      </c>
      <c r="S174" s="23"/>
      <c r="T174" s="23">
        <v>2239</v>
      </c>
      <c r="U174" s="23"/>
      <c r="V174" s="7" t="s">
        <v>617</v>
      </c>
      <c r="W174" s="82">
        <f t="shared" si="37"/>
        <v>0</v>
      </c>
      <c r="AA174" s="82">
        <v>0</v>
      </c>
      <c r="AB174" s="82"/>
      <c r="AC174" s="82"/>
      <c r="AD174" s="23"/>
      <c r="AE174" s="7" t="s">
        <v>421</v>
      </c>
      <c r="AH174" s="23">
        <f>SUM('2020 detail'!J174:U174)+'2020 detail'!AA174+'2020 detail'!AB174</f>
        <v>8956</v>
      </c>
      <c r="AJ174" s="23">
        <f t="shared" si="31"/>
        <v>0</v>
      </c>
      <c r="AL174" t="str">
        <f t="shared" si="38"/>
        <v>Same</v>
      </c>
    </row>
    <row r="175" spans="1:43" x14ac:dyDescent="0.2">
      <c r="A175" s="144" t="s">
        <v>139</v>
      </c>
      <c r="B175" s="9" t="s">
        <v>495</v>
      </c>
      <c r="C175" s="9" t="s">
        <v>495</v>
      </c>
      <c r="D175" s="9">
        <v>0</v>
      </c>
      <c r="E175" s="9"/>
      <c r="F175" s="9">
        <v>0</v>
      </c>
      <c r="G175" s="83">
        <v>6091</v>
      </c>
      <c r="H175" s="83">
        <f t="shared" si="35"/>
        <v>6091</v>
      </c>
      <c r="I175" s="133">
        <f t="shared" si="39"/>
        <v>1</v>
      </c>
      <c r="J175" s="82">
        <v>0</v>
      </c>
      <c r="K175" s="82">
        <v>1000</v>
      </c>
      <c r="L175" s="82">
        <v>1000</v>
      </c>
      <c r="M175" s="82"/>
      <c r="N175" s="82"/>
      <c r="O175" s="82"/>
      <c r="P175" s="82">
        <v>2000</v>
      </c>
      <c r="Q175" s="82">
        <v>1000</v>
      </c>
      <c r="R175" s="82"/>
      <c r="S175" s="23">
        <v>1091</v>
      </c>
      <c r="T175" s="23"/>
      <c r="U175" s="23"/>
      <c r="V175" s="7" t="s">
        <v>618</v>
      </c>
      <c r="W175" s="82">
        <f t="shared" si="37"/>
        <v>0</v>
      </c>
      <c r="AA175" s="82">
        <v>0</v>
      </c>
      <c r="AB175" s="82"/>
      <c r="AC175" s="82"/>
      <c r="AD175" s="23"/>
      <c r="AE175" s="7" t="s">
        <v>421</v>
      </c>
      <c r="AH175" s="23">
        <f>SUM('2020 detail'!J175:U175)+'2020 detail'!AA175+'2020 detail'!AB175</f>
        <v>6091</v>
      </c>
      <c r="AJ175" s="23">
        <f t="shared" si="31"/>
        <v>0</v>
      </c>
      <c r="AL175" t="str">
        <f t="shared" si="38"/>
        <v>Same</v>
      </c>
    </row>
    <row r="176" spans="1:43" x14ac:dyDescent="0.2">
      <c r="A176" s="144" t="s">
        <v>140</v>
      </c>
      <c r="B176" s="9" t="s">
        <v>495</v>
      </c>
      <c r="C176" s="9" t="s">
        <v>495</v>
      </c>
      <c r="D176" s="9" t="s">
        <v>495</v>
      </c>
      <c r="E176" s="9"/>
      <c r="F176" s="9">
        <v>0</v>
      </c>
      <c r="G176" s="83">
        <v>8061</v>
      </c>
      <c r="H176" s="83">
        <f t="shared" si="35"/>
        <v>8061</v>
      </c>
      <c r="I176" s="133">
        <f t="shared" si="39"/>
        <v>1</v>
      </c>
      <c r="J176" s="82">
        <v>250</v>
      </c>
      <c r="K176" s="82">
        <v>250</v>
      </c>
      <c r="L176" s="82">
        <v>250</v>
      </c>
      <c r="M176" s="82">
        <v>250</v>
      </c>
      <c r="N176" s="82">
        <v>250</v>
      </c>
      <c r="O176" s="82">
        <v>250</v>
      </c>
      <c r="P176" s="82">
        <v>250</v>
      </c>
      <c r="Q176" s="82">
        <v>250</v>
      </c>
      <c r="R176" s="82">
        <v>250</v>
      </c>
      <c r="S176" s="23">
        <v>250</v>
      </c>
      <c r="T176" s="23">
        <v>250</v>
      </c>
      <c r="U176" s="23">
        <v>5311</v>
      </c>
      <c r="V176" s="7" t="s">
        <v>619</v>
      </c>
      <c r="W176" s="82">
        <f t="shared" si="37"/>
        <v>0</v>
      </c>
      <c r="AA176" s="82">
        <v>0</v>
      </c>
      <c r="AB176" s="82"/>
      <c r="AC176" s="82"/>
      <c r="AD176" s="23"/>
      <c r="AE176" s="7" t="s">
        <v>421</v>
      </c>
      <c r="AH176" s="23">
        <f>SUM('2020 detail'!J176:U176)+'2020 detail'!AA176+'2020 detail'!AB176</f>
        <v>8061</v>
      </c>
      <c r="AJ176" s="23">
        <f t="shared" si="31"/>
        <v>0</v>
      </c>
      <c r="AL176" t="str">
        <f t="shared" si="38"/>
        <v>Same</v>
      </c>
      <c r="AQ176" s="23">
        <v>5311</v>
      </c>
    </row>
    <row r="177" spans="1:43" x14ac:dyDescent="0.2">
      <c r="A177" s="144" t="s">
        <v>141</v>
      </c>
      <c r="B177" s="9" t="s">
        <v>495</v>
      </c>
      <c r="C177" s="9" t="s">
        <v>495</v>
      </c>
      <c r="D177" s="9">
        <v>0</v>
      </c>
      <c r="E177" s="9"/>
      <c r="F177" s="9">
        <v>0</v>
      </c>
      <c r="G177" s="83">
        <v>15023</v>
      </c>
      <c r="H177" s="83">
        <f t="shared" si="35"/>
        <v>6000</v>
      </c>
      <c r="I177" s="133">
        <f t="shared" si="39"/>
        <v>0.39939999999999998</v>
      </c>
      <c r="J177" s="82">
        <v>0</v>
      </c>
      <c r="K177" s="82"/>
      <c r="L177" s="82"/>
      <c r="M177" s="82"/>
      <c r="N177" s="82"/>
      <c r="O177" s="82">
        <v>2000</v>
      </c>
      <c r="P177" s="82"/>
      <c r="Q177" s="82"/>
      <c r="R177" s="82">
        <v>2000</v>
      </c>
      <c r="S177" s="23"/>
      <c r="T177" s="23">
        <v>1000</v>
      </c>
      <c r="U177" s="23">
        <v>1000</v>
      </c>
      <c r="V177" s="7" t="s">
        <v>620</v>
      </c>
      <c r="W177" s="82">
        <f t="shared" si="37"/>
        <v>9023</v>
      </c>
      <c r="AA177" s="82">
        <v>0</v>
      </c>
      <c r="AB177" s="82"/>
      <c r="AC177" s="82"/>
      <c r="AD177" s="23"/>
      <c r="AE177" s="7" t="s">
        <v>427</v>
      </c>
      <c r="AH177" s="23">
        <f>SUM('2020 detail'!J177:U177)+'2020 detail'!AA177+'2020 detail'!AB177</f>
        <v>15023</v>
      </c>
      <c r="AJ177" s="23">
        <f t="shared" si="31"/>
        <v>-9023</v>
      </c>
      <c r="AL177" t="str">
        <f t="shared" si="38"/>
        <v>Down</v>
      </c>
      <c r="AQ177" s="23">
        <v>1000</v>
      </c>
    </row>
    <row r="178" spans="1:43" x14ac:dyDescent="0.2">
      <c r="A178" s="144" t="s">
        <v>142</v>
      </c>
      <c r="B178" s="9" t="s">
        <v>495</v>
      </c>
      <c r="C178" s="9" t="s">
        <v>495</v>
      </c>
      <c r="D178" s="9" t="s">
        <v>495</v>
      </c>
      <c r="E178" s="9"/>
      <c r="F178" s="9">
        <v>0</v>
      </c>
      <c r="G178" s="83">
        <v>16050</v>
      </c>
      <c r="H178" s="83">
        <f t="shared" si="35"/>
        <v>5000</v>
      </c>
      <c r="I178" s="133">
        <f t="shared" si="39"/>
        <v>0.3115</v>
      </c>
      <c r="J178" s="82">
        <v>0</v>
      </c>
      <c r="K178" s="82"/>
      <c r="L178" s="82"/>
      <c r="M178" s="82"/>
      <c r="N178" s="82"/>
      <c r="O178" s="82"/>
      <c r="P178" s="82">
        <v>5000</v>
      </c>
      <c r="Q178" s="82"/>
      <c r="R178" s="82"/>
      <c r="S178" s="23"/>
      <c r="T178" s="23"/>
      <c r="U178" s="23"/>
      <c r="V178" s="7" t="s">
        <v>621</v>
      </c>
      <c r="W178" s="82">
        <f t="shared" si="37"/>
        <v>11050</v>
      </c>
      <c r="AA178" s="82">
        <v>0</v>
      </c>
      <c r="AB178" s="82"/>
      <c r="AC178" s="82"/>
      <c r="AD178" s="23"/>
      <c r="AE178" s="7" t="s">
        <v>427</v>
      </c>
      <c r="AH178" s="23">
        <f>SUM('2020 detail'!J178:U178)+'2020 detail'!AA178+'2020 detail'!AB178</f>
        <v>5000</v>
      </c>
      <c r="AJ178" s="23">
        <f t="shared" si="31"/>
        <v>0</v>
      </c>
      <c r="AL178" t="str">
        <f t="shared" si="38"/>
        <v>Same</v>
      </c>
    </row>
    <row r="179" spans="1:43" x14ac:dyDescent="0.2">
      <c r="A179" s="144" t="s">
        <v>143</v>
      </c>
      <c r="B179" s="9">
        <v>0</v>
      </c>
      <c r="C179" s="9" t="s">
        <v>495</v>
      </c>
      <c r="D179" s="9" t="s">
        <v>495</v>
      </c>
      <c r="E179" s="9"/>
      <c r="F179" s="9">
        <v>0</v>
      </c>
      <c r="G179" s="83">
        <v>2031</v>
      </c>
      <c r="H179" s="83">
        <f t="shared" si="35"/>
        <v>2031</v>
      </c>
      <c r="I179" s="133">
        <f t="shared" si="39"/>
        <v>1</v>
      </c>
      <c r="J179" s="82">
        <v>0</v>
      </c>
      <c r="K179" s="82"/>
      <c r="L179" s="82">
        <v>2031</v>
      </c>
      <c r="M179" s="82"/>
      <c r="N179" s="82"/>
      <c r="O179" s="82"/>
      <c r="P179" s="82"/>
      <c r="Q179" s="82"/>
      <c r="R179" s="82"/>
      <c r="S179" s="23"/>
      <c r="T179" s="23"/>
      <c r="U179" s="23"/>
      <c r="V179" s="7" t="s">
        <v>622</v>
      </c>
      <c r="W179" s="82">
        <f t="shared" si="37"/>
        <v>0</v>
      </c>
      <c r="AA179" s="82">
        <v>0</v>
      </c>
      <c r="AB179" s="82"/>
      <c r="AC179" s="82"/>
      <c r="AD179" s="23"/>
      <c r="AE179" s="7" t="s">
        <v>427</v>
      </c>
      <c r="AH179" s="23">
        <f>SUM('2020 detail'!J179:U179)+'2020 detail'!AA179+'2020 detail'!AB179</f>
        <v>2031</v>
      </c>
      <c r="AJ179" s="23">
        <f t="shared" si="31"/>
        <v>0</v>
      </c>
      <c r="AL179" t="str">
        <f t="shared" si="38"/>
        <v>Same</v>
      </c>
    </row>
    <row r="180" spans="1:43" x14ac:dyDescent="0.2">
      <c r="A180" s="144" t="s">
        <v>144</v>
      </c>
      <c r="B180" s="9" t="s">
        <v>495</v>
      </c>
      <c r="C180" s="9" t="s">
        <v>495</v>
      </c>
      <c r="D180" s="9" t="s">
        <v>495</v>
      </c>
      <c r="E180" s="9"/>
      <c r="F180" s="9">
        <v>0</v>
      </c>
      <c r="G180" s="83">
        <v>1821</v>
      </c>
      <c r="H180" s="83">
        <f t="shared" si="35"/>
        <v>1821</v>
      </c>
      <c r="I180" s="133">
        <f t="shared" si="39"/>
        <v>1</v>
      </c>
      <c r="J180" s="82">
        <v>0</v>
      </c>
      <c r="K180" s="82"/>
      <c r="L180" s="82"/>
      <c r="M180" s="82"/>
      <c r="N180" s="82"/>
      <c r="O180" s="82"/>
      <c r="P180" s="82"/>
      <c r="Q180" s="82">
        <v>910.5</v>
      </c>
      <c r="R180" s="82"/>
      <c r="S180" s="23"/>
      <c r="T180" s="23"/>
      <c r="U180" s="23">
        <v>910.5</v>
      </c>
      <c r="V180" s="7" t="s">
        <v>623</v>
      </c>
      <c r="W180" s="82">
        <f t="shared" si="37"/>
        <v>0</v>
      </c>
      <c r="AA180" s="82">
        <v>0</v>
      </c>
      <c r="AB180" s="82"/>
      <c r="AC180" s="82"/>
      <c r="AD180" s="23"/>
      <c r="AE180" s="7" t="s">
        <v>427</v>
      </c>
      <c r="AH180" s="23">
        <f>SUM('2020 detail'!J180:U180)+'2020 detail'!AA180+'2020 detail'!AB180</f>
        <v>1821</v>
      </c>
      <c r="AJ180" s="23">
        <f t="shared" si="31"/>
        <v>0</v>
      </c>
      <c r="AL180" t="str">
        <f t="shared" si="38"/>
        <v>Same</v>
      </c>
      <c r="AQ180" s="23">
        <v>910.5</v>
      </c>
    </row>
    <row r="181" spans="1:43" x14ac:dyDescent="0.2">
      <c r="A181" s="144" t="s">
        <v>145</v>
      </c>
      <c r="B181" s="9" t="s">
        <v>495</v>
      </c>
      <c r="C181" s="9">
        <v>0</v>
      </c>
      <c r="D181" s="9">
        <v>0</v>
      </c>
      <c r="E181" s="9"/>
      <c r="F181" s="9" t="s">
        <v>495</v>
      </c>
      <c r="G181" s="83">
        <v>6912</v>
      </c>
      <c r="H181" s="83">
        <f t="shared" si="35"/>
        <v>2672.2799999999997</v>
      </c>
      <c r="I181" s="133">
        <f t="shared" si="39"/>
        <v>0.3866</v>
      </c>
      <c r="J181" s="82">
        <v>280</v>
      </c>
      <c r="K181" s="82">
        <v>280</v>
      </c>
      <c r="L181" s="82">
        <v>432.28</v>
      </c>
      <c r="M181" s="82">
        <v>280</v>
      </c>
      <c r="N181" s="82">
        <v>0</v>
      </c>
      <c r="O181" s="82">
        <v>0</v>
      </c>
      <c r="P181" s="82">
        <v>0</v>
      </c>
      <c r="Q181" s="82">
        <v>280</v>
      </c>
      <c r="R181" s="82">
        <v>280</v>
      </c>
      <c r="S181" s="23">
        <v>280</v>
      </c>
      <c r="T181" s="23">
        <v>280</v>
      </c>
      <c r="U181" s="23">
        <v>280</v>
      </c>
      <c r="V181" s="7" t="s">
        <v>624</v>
      </c>
      <c r="W181" s="82">
        <f t="shared" si="37"/>
        <v>4239.72</v>
      </c>
      <c r="AA181" s="82">
        <v>0</v>
      </c>
      <c r="AB181" s="82"/>
      <c r="AC181" s="82"/>
      <c r="AD181" s="23"/>
      <c r="AE181" s="7" t="s">
        <v>423</v>
      </c>
      <c r="AH181" s="23">
        <f>SUM('2020 detail'!J181:U181)+'2020 detail'!AA181+'2020 detail'!AB181</f>
        <v>2520</v>
      </c>
      <c r="AJ181" s="23">
        <f t="shared" si="31"/>
        <v>152.27999999999975</v>
      </c>
      <c r="AL181" t="str">
        <f t="shared" si="38"/>
        <v>Up</v>
      </c>
      <c r="AQ181" s="23">
        <v>280</v>
      </c>
    </row>
    <row r="182" spans="1:43" x14ac:dyDescent="0.2">
      <c r="A182" s="144" t="s">
        <v>146</v>
      </c>
      <c r="B182" s="9" t="s">
        <v>495</v>
      </c>
      <c r="C182" s="9" t="s">
        <v>495</v>
      </c>
      <c r="D182" s="9" t="s">
        <v>495</v>
      </c>
      <c r="E182" s="9"/>
      <c r="F182" s="9">
        <v>0</v>
      </c>
      <c r="G182" s="83">
        <v>16200</v>
      </c>
      <c r="H182" s="83">
        <f t="shared" si="35"/>
        <v>16199.89</v>
      </c>
      <c r="I182" s="133">
        <f t="shared" si="39"/>
        <v>1</v>
      </c>
      <c r="J182" s="82">
        <v>0</v>
      </c>
      <c r="K182" s="82"/>
      <c r="L182" s="82">
        <v>3856.89</v>
      </c>
      <c r="M182" s="82"/>
      <c r="N182" s="82"/>
      <c r="O182" s="82">
        <v>4000</v>
      </c>
      <c r="P182" s="82"/>
      <c r="Q182" s="82"/>
      <c r="R182" s="82">
        <v>4000</v>
      </c>
      <c r="S182" s="23"/>
      <c r="T182" s="23"/>
      <c r="U182" s="23">
        <v>4343</v>
      </c>
      <c r="V182" s="7" t="s">
        <v>625</v>
      </c>
      <c r="W182" s="82">
        <f t="shared" si="37"/>
        <v>0.11000000000058208</v>
      </c>
      <c r="AA182" s="82">
        <v>0</v>
      </c>
      <c r="AB182" s="82"/>
      <c r="AC182" s="82"/>
      <c r="AD182" s="23"/>
      <c r="AE182" s="7" t="s">
        <v>423</v>
      </c>
      <c r="AH182" s="23">
        <f>SUM('2020 detail'!J182:U182)+'2020 detail'!AA182+'2020 detail'!AB182</f>
        <v>15957</v>
      </c>
      <c r="AJ182" s="23">
        <f t="shared" si="31"/>
        <v>242.88999999999942</v>
      </c>
      <c r="AL182" t="str">
        <f t="shared" si="38"/>
        <v>Up</v>
      </c>
      <c r="AQ182" s="23">
        <v>4343</v>
      </c>
    </row>
    <row r="183" spans="1:43" x14ac:dyDescent="0.2">
      <c r="A183" s="144" t="s">
        <v>147</v>
      </c>
      <c r="B183" s="9" t="s">
        <v>495</v>
      </c>
      <c r="C183" s="9" t="s">
        <v>495</v>
      </c>
      <c r="D183" s="9">
        <v>0</v>
      </c>
      <c r="E183" s="9"/>
      <c r="F183" s="9">
        <v>0</v>
      </c>
      <c r="G183" s="83">
        <v>5455</v>
      </c>
      <c r="H183" s="83">
        <f t="shared" si="35"/>
        <v>1120.17</v>
      </c>
      <c r="I183" s="133">
        <f t="shared" si="39"/>
        <v>0.20530000000000001</v>
      </c>
      <c r="J183" s="82">
        <v>0</v>
      </c>
      <c r="K183" s="82"/>
      <c r="L183" s="82">
        <v>120.17</v>
      </c>
      <c r="M183" s="82"/>
      <c r="N183" s="82"/>
      <c r="O183" s="82"/>
      <c r="P183" s="82"/>
      <c r="Q183" s="82"/>
      <c r="R183" s="82"/>
      <c r="S183" s="23">
        <v>1000</v>
      </c>
      <c r="T183" s="23"/>
      <c r="U183" s="23"/>
      <c r="V183" s="7" t="s">
        <v>626</v>
      </c>
      <c r="W183" s="82">
        <f t="shared" si="37"/>
        <v>4334.83</v>
      </c>
      <c r="AA183" s="82">
        <v>0</v>
      </c>
      <c r="AB183" s="82"/>
      <c r="AC183" s="82"/>
      <c r="AD183" s="23"/>
      <c r="AE183" s="7" t="s">
        <v>423</v>
      </c>
      <c r="AH183" s="23">
        <f>SUM('2020 detail'!J183:U183)+'2020 detail'!AA183+'2020 detail'!AB183</f>
        <v>3000</v>
      </c>
      <c r="AJ183" s="23">
        <f t="shared" si="31"/>
        <v>-1879.83</v>
      </c>
      <c r="AL183" t="str">
        <f t="shared" si="38"/>
        <v>Down</v>
      </c>
    </row>
    <row r="184" spans="1:43" x14ac:dyDescent="0.2">
      <c r="A184" s="144" t="s">
        <v>148</v>
      </c>
      <c r="B184" s="9" t="s">
        <v>495</v>
      </c>
      <c r="C184" s="9" t="s">
        <v>495</v>
      </c>
      <c r="D184" s="9" t="s">
        <v>495</v>
      </c>
      <c r="E184" s="9"/>
      <c r="F184" s="9">
        <v>0</v>
      </c>
      <c r="G184" s="83">
        <v>25380</v>
      </c>
      <c r="H184" s="83">
        <f t="shared" si="35"/>
        <v>25380</v>
      </c>
      <c r="I184" s="133">
        <f t="shared" si="39"/>
        <v>1</v>
      </c>
      <c r="J184" s="82">
        <v>0</v>
      </c>
      <c r="K184" s="82"/>
      <c r="L184" s="82"/>
      <c r="M184" s="82">
        <v>5830</v>
      </c>
      <c r="N184" s="82"/>
      <c r="O184" s="82">
        <v>6860</v>
      </c>
      <c r="P184" s="82"/>
      <c r="Q184" s="82">
        <v>4230</v>
      </c>
      <c r="R184" s="82">
        <v>2115</v>
      </c>
      <c r="S184" s="23">
        <v>2115</v>
      </c>
      <c r="T184" s="23">
        <v>2115</v>
      </c>
      <c r="U184" s="23">
        <v>2115</v>
      </c>
      <c r="V184" s="7" t="s">
        <v>627</v>
      </c>
      <c r="W184" s="82">
        <f t="shared" si="37"/>
        <v>0</v>
      </c>
      <c r="AA184" s="82">
        <v>0</v>
      </c>
      <c r="AB184" s="82"/>
      <c r="AC184" s="82"/>
      <c r="AD184" s="23"/>
      <c r="AE184" s="7" t="s">
        <v>422</v>
      </c>
      <c r="AH184" s="23">
        <f>SUM('2020 detail'!J184:U184)+'2020 detail'!AA184+'2020 detail'!AB184</f>
        <v>9420</v>
      </c>
      <c r="AJ184" s="23">
        <f t="shared" si="31"/>
        <v>15960</v>
      </c>
      <c r="AL184" t="str">
        <f t="shared" si="38"/>
        <v>Up</v>
      </c>
      <c r="AQ184" s="23">
        <v>2115</v>
      </c>
    </row>
    <row r="185" spans="1:43" x14ac:dyDescent="0.2">
      <c r="A185" s="144" t="s">
        <v>149</v>
      </c>
      <c r="B185" s="9" t="s">
        <v>495</v>
      </c>
      <c r="C185" s="9" t="s">
        <v>495</v>
      </c>
      <c r="D185" s="9" t="s">
        <v>495</v>
      </c>
      <c r="E185" s="9"/>
      <c r="F185" s="9" t="s">
        <v>495</v>
      </c>
      <c r="G185" s="83">
        <v>36356</v>
      </c>
      <c r="H185" s="83">
        <f t="shared" si="35"/>
        <v>36356</v>
      </c>
      <c r="I185" s="133">
        <f t="shared" si="39"/>
        <v>1</v>
      </c>
      <c r="J185" s="82">
        <v>3029.74</v>
      </c>
      <c r="K185" s="82">
        <v>3029.66</v>
      </c>
      <c r="L185" s="82">
        <v>3029.66</v>
      </c>
      <c r="M185" s="82">
        <v>3029.66</v>
      </c>
      <c r="N185" s="82">
        <v>3029.66</v>
      </c>
      <c r="O185" s="82">
        <v>3029.66</v>
      </c>
      <c r="P185" s="82">
        <v>3029.66</v>
      </c>
      <c r="Q185" s="82">
        <v>3029.66</v>
      </c>
      <c r="R185" s="82">
        <v>3029.66</v>
      </c>
      <c r="S185" s="23">
        <v>3029.66</v>
      </c>
      <c r="T185" s="23">
        <v>3029.66</v>
      </c>
      <c r="U185" s="23">
        <v>3029.66</v>
      </c>
      <c r="V185" s="7" t="s">
        <v>628</v>
      </c>
      <c r="W185" s="82">
        <f t="shared" si="37"/>
        <v>0</v>
      </c>
      <c r="AA185" s="82">
        <v>0</v>
      </c>
      <c r="AB185" s="82"/>
      <c r="AC185" s="82"/>
      <c r="AD185" s="23"/>
      <c r="AE185" s="7" t="s">
        <v>422</v>
      </c>
      <c r="AH185" s="23">
        <f>SUM('2020 detail'!J185:U185)+'2020 detail'!AA185+'2020 detail'!AB185</f>
        <v>34712.000000000007</v>
      </c>
      <c r="AJ185" s="23">
        <f t="shared" si="31"/>
        <v>1643.9999999999927</v>
      </c>
      <c r="AL185" t="str">
        <f t="shared" si="38"/>
        <v>Up</v>
      </c>
      <c r="AQ185" s="23">
        <v>3029.66</v>
      </c>
    </row>
    <row r="186" spans="1:43" x14ac:dyDescent="0.2">
      <c r="A186" s="144" t="s">
        <v>150</v>
      </c>
      <c r="B186" s="9" t="s">
        <v>495</v>
      </c>
      <c r="C186" s="9" t="s">
        <v>495</v>
      </c>
      <c r="D186" s="9" t="s">
        <v>495</v>
      </c>
      <c r="E186" s="9"/>
      <c r="F186" s="9">
        <v>0</v>
      </c>
      <c r="G186" s="83">
        <v>6859</v>
      </c>
      <c r="H186" s="83">
        <f t="shared" si="35"/>
        <v>6859</v>
      </c>
      <c r="I186" s="133">
        <f t="shared" si="39"/>
        <v>1</v>
      </c>
      <c r="J186" s="82">
        <v>0</v>
      </c>
      <c r="K186" s="82">
        <v>900</v>
      </c>
      <c r="L186" s="82"/>
      <c r="M186" s="82"/>
      <c r="N186" s="82"/>
      <c r="O186" s="82">
        <v>900</v>
      </c>
      <c r="P186" s="82"/>
      <c r="Q186" s="82"/>
      <c r="R186" s="82">
        <v>900</v>
      </c>
      <c r="S186" s="23"/>
      <c r="T186" s="23">
        <v>4159</v>
      </c>
      <c r="U186" s="23"/>
      <c r="V186" s="7" t="s">
        <v>629</v>
      </c>
      <c r="W186" s="82">
        <f t="shared" si="37"/>
        <v>0</v>
      </c>
      <c r="AA186" s="82">
        <v>0</v>
      </c>
      <c r="AB186" s="82"/>
      <c r="AC186" s="82"/>
      <c r="AD186" s="23"/>
      <c r="AE186" s="7" t="s">
        <v>422</v>
      </c>
      <c r="AH186" s="23">
        <f>SUM('2020 detail'!J186:U186)+'2020 detail'!AA186+'2020 detail'!AB186</f>
        <v>4110.71</v>
      </c>
      <c r="AJ186" s="23">
        <f t="shared" si="31"/>
        <v>2748.29</v>
      </c>
      <c r="AL186" t="str">
        <f t="shared" si="38"/>
        <v>Up</v>
      </c>
    </row>
    <row r="187" spans="1:43" x14ac:dyDescent="0.2">
      <c r="A187" s="144" t="s">
        <v>151</v>
      </c>
      <c r="B187" s="9" t="s">
        <v>495</v>
      </c>
      <c r="C187" s="9" t="s">
        <v>495</v>
      </c>
      <c r="D187" s="9" t="s">
        <v>495</v>
      </c>
      <c r="E187" s="9"/>
      <c r="F187" s="9">
        <v>0</v>
      </c>
      <c r="G187" s="83">
        <v>25239</v>
      </c>
      <c r="H187" s="83">
        <f t="shared" si="35"/>
        <v>25239.010000000002</v>
      </c>
      <c r="I187" s="133">
        <f t="shared" si="39"/>
        <v>1</v>
      </c>
      <c r="J187" s="82">
        <v>0</v>
      </c>
      <c r="K187" s="82">
        <v>1500</v>
      </c>
      <c r="L187" s="82">
        <v>2556.0100000000002</v>
      </c>
      <c r="M187" s="82"/>
      <c r="N187" s="82"/>
      <c r="O187" s="82">
        <v>2000</v>
      </c>
      <c r="P187" s="82">
        <v>1500</v>
      </c>
      <c r="Q187" s="82"/>
      <c r="R187" s="82">
        <v>7000</v>
      </c>
      <c r="S187" s="23">
        <v>3000</v>
      </c>
      <c r="T187" s="23"/>
      <c r="U187" s="23">
        <v>7683</v>
      </c>
      <c r="V187" s="7" t="s">
        <v>630</v>
      </c>
      <c r="W187" s="82">
        <f t="shared" si="37"/>
        <v>-1.0000000002037268E-2</v>
      </c>
      <c r="AA187" s="82">
        <v>0</v>
      </c>
      <c r="AB187" s="82"/>
      <c r="AC187" s="82"/>
      <c r="AD187" s="23"/>
      <c r="AE187" s="7" t="s">
        <v>423</v>
      </c>
      <c r="AH187" s="23">
        <f>SUM('2020 detail'!J187:U187)+'2020 detail'!AA187+'2020 detail'!AB187</f>
        <v>25740</v>
      </c>
      <c r="AJ187" s="23">
        <f t="shared" si="31"/>
        <v>-500.98999999999796</v>
      </c>
      <c r="AL187" t="str">
        <f t="shared" si="38"/>
        <v>Down</v>
      </c>
      <c r="AQ187" s="23">
        <v>7683</v>
      </c>
    </row>
    <row r="188" spans="1:43" x14ac:dyDescent="0.2">
      <c r="A188" s="144" t="s">
        <v>152</v>
      </c>
      <c r="B188" s="9" t="s">
        <v>495</v>
      </c>
      <c r="C188" s="9" t="s">
        <v>495</v>
      </c>
      <c r="D188" s="9" t="s">
        <v>495</v>
      </c>
      <c r="E188" s="9"/>
      <c r="F188" s="9">
        <v>0</v>
      </c>
      <c r="G188" s="83">
        <v>6714</v>
      </c>
      <c r="H188" s="83">
        <f t="shared" si="35"/>
        <v>6713.9</v>
      </c>
      <c r="I188" s="133">
        <f t="shared" si="39"/>
        <v>1</v>
      </c>
      <c r="J188" s="82">
        <v>0</v>
      </c>
      <c r="K188" s="82"/>
      <c r="L188" s="82">
        <v>147.9</v>
      </c>
      <c r="M188" s="82"/>
      <c r="N188" s="82"/>
      <c r="O188" s="82"/>
      <c r="P188" s="82"/>
      <c r="Q188" s="82"/>
      <c r="R188" s="82"/>
      <c r="S188" s="23"/>
      <c r="T188" s="23"/>
      <c r="U188" s="23">
        <v>6566</v>
      </c>
      <c r="V188" s="7" t="s">
        <v>631</v>
      </c>
      <c r="W188" s="82">
        <f t="shared" si="37"/>
        <v>0.1000000000003638</v>
      </c>
      <c r="AA188" s="82">
        <v>0</v>
      </c>
      <c r="AB188" s="82"/>
      <c r="AC188" s="82"/>
      <c r="AD188" s="23"/>
      <c r="AE188" s="7" t="s">
        <v>423</v>
      </c>
      <c r="AH188" s="23">
        <f>SUM('2020 detail'!J188:U188)+'2020 detail'!AA188+'2020 detail'!AB188</f>
        <v>8460</v>
      </c>
      <c r="AJ188" s="23">
        <f t="shared" si="31"/>
        <v>-1746.1000000000004</v>
      </c>
      <c r="AL188" t="str">
        <f t="shared" si="38"/>
        <v>Down</v>
      </c>
      <c r="AQ188" s="23">
        <v>6566</v>
      </c>
    </row>
    <row r="189" spans="1:43" x14ac:dyDescent="0.2">
      <c r="A189" s="144" t="s">
        <v>153</v>
      </c>
      <c r="B189" s="9" t="s">
        <v>495</v>
      </c>
      <c r="C189" s="9" t="s">
        <v>495</v>
      </c>
      <c r="D189" s="9" t="s">
        <v>495</v>
      </c>
      <c r="E189" s="9"/>
      <c r="F189" s="9" t="s">
        <v>495</v>
      </c>
      <c r="G189" s="83">
        <v>44978</v>
      </c>
      <c r="H189" s="83">
        <f t="shared" si="35"/>
        <v>34045.519999999997</v>
      </c>
      <c r="I189" s="133">
        <f t="shared" si="39"/>
        <v>0.75690000000000002</v>
      </c>
      <c r="J189" s="82">
        <v>3748.24</v>
      </c>
      <c r="K189" s="82">
        <v>3748.16</v>
      </c>
      <c r="L189" s="82">
        <v>3748.16</v>
      </c>
      <c r="M189" s="82">
        <v>3748.16</v>
      </c>
      <c r="N189" s="82">
        <v>3748.16</v>
      </c>
      <c r="O189" s="82">
        <v>3748.16</v>
      </c>
      <c r="P189" s="82">
        <v>3748.16</v>
      </c>
      <c r="Q189" s="82">
        <v>3748.16</v>
      </c>
      <c r="R189" s="82">
        <v>4060.16</v>
      </c>
      <c r="S189" s="23">
        <v>0</v>
      </c>
      <c r="T189" s="23">
        <v>0</v>
      </c>
      <c r="U189" s="23">
        <v>0</v>
      </c>
      <c r="V189" s="7" t="s">
        <v>632</v>
      </c>
      <c r="W189" s="82">
        <f t="shared" si="37"/>
        <v>10932.480000000003</v>
      </c>
      <c r="AA189" s="82">
        <v>0</v>
      </c>
      <c r="AB189" s="82"/>
      <c r="AC189" s="82"/>
      <c r="AD189" s="23"/>
      <c r="AE189" s="7" t="s">
        <v>424</v>
      </c>
      <c r="AH189" s="23">
        <f>SUM('2020 detail'!J189:U189)+'2020 detail'!AA189+'2020 detail'!AB189</f>
        <v>33733.519999999997</v>
      </c>
      <c r="AJ189" s="23">
        <f t="shared" si="31"/>
        <v>312</v>
      </c>
      <c r="AL189" t="str">
        <f t="shared" si="38"/>
        <v>Up</v>
      </c>
      <c r="AQ189" s="23">
        <v>0</v>
      </c>
    </row>
    <row r="190" spans="1:43" x14ac:dyDescent="0.2">
      <c r="A190" s="144" t="s">
        <v>154</v>
      </c>
      <c r="B190" s="9" t="s">
        <v>495</v>
      </c>
      <c r="C190" s="9">
        <v>0</v>
      </c>
      <c r="D190" s="9">
        <v>0</v>
      </c>
      <c r="E190" s="9"/>
      <c r="F190" s="9">
        <v>0</v>
      </c>
      <c r="G190" s="83">
        <v>4566</v>
      </c>
      <c r="H190" s="83">
        <f t="shared" si="35"/>
        <v>4566</v>
      </c>
      <c r="I190" s="133">
        <f t="shared" si="39"/>
        <v>1</v>
      </c>
      <c r="J190" s="82">
        <v>0</v>
      </c>
      <c r="K190" s="82"/>
      <c r="L190" s="82"/>
      <c r="M190" s="82"/>
      <c r="N190" s="82"/>
      <c r="O190" s="82">
        <v>4566</v>
      </c>
      <c r="P190" s="82"/>
      <c r="Q190" s="82"/>
      <c r="R190" s="82"/>
      <c r="S190" s="23"/>
      <c r="T190" s="23"/>
      <c r="U190" s="23">
        <v>0</v>
      </c>
      <c r="V190" s="7" t="s">
        <v>633</v>
      </c>
      <c r="W190" s="82">
        <f t="shared" si="37"/>
        <v>0</v>
      </c>
      <c r="AA190" s="82">
        <v>0</v>
      </c>
      <c r="AB190" s="82"/>
      <c r="AC190" s="82"/>
      <c r="AD190" s="23"/>
      <c r="AE190" s="7" t="s">
        <v>424</v>
      </c>
      <c r="AH190" s="23">
        <f>SUM('2020 detail'!J190:U190)+'2020 detail'!AA190+'2020 detail'!AB190</f>
        <v>4566</v>
      </c>
      <c r="AJ190" s="23">
        <f t="shared" si="31"/>
        <v>0</v>
      </c>
      <c r="AL190" t="str">
        <f t="shared" si="38"/>
        <v>Same</v>
      </c>
      <c r="AQ190" s="23">
        <v>0</v>
      </c>
    </row>
    <row r="191" spans="1:43" x14ac:dyDescent="0.2">
      <c r="A191" s="144" t="s">
        <v>155</v>
      </c>
      <c r="B191" s="9" t="s">
        <v>495</v>
      </c>
      <c r="C191" s="9" t="s">
        <v>495</v>
      </c>
      <c r="D191" s="9" t="s">
        <v>495</v>
      </c>
      <c r="E191" s="9"/>
      <c r="F191" s="9" t="s">
        <v>495</v>
      </c>
      <c r="G191" s="83">
        <v>12542</v>
      </c>
      <c r="H191" s="83">
        <f t="shared" si="35"/>
        <v>6271</v>
      </c>
      <c r="I191" s="133">
        <f t="shared" si="39"/>
        <v>0.5</v>
      </c>
      <c r="J191" s="82">
        <v>0</v>
      </c>
      <c r="K191" s="82"/>
      <c r="L191" s="82"/>
      <c r="M191" s="82"/>
      <c r="N191" s="82">
        <v>500</v>
      </c>
      <c r="O191" s="82">
        <v>500</v>
      </c>
      <c r="P191" s="82">
        <v>500</v>
      </c>
      <c r="Q191" s="82">
        <v>500</v>
      </c>
      <c r="R191" s="82">
        <v>500</v>
      </c>
      <c r="S191" s="23">
        <v>500</v>
      </c>
      <c r="T191" s="23">
        <v>500</v>
      </c>
      <c r="U191" s="23">
        <v>2771</v>
      </c>
      <c r="V191" s="7" t="s">
        <v>634</v>
      </c>
      <c r="W191" s="82">
        <f t="shared" si="37"/>
        <v>6271</v>
      </c>
      <c r="AA191" s="82">
        <v>0</v>
      </c>
      <c r="AB191" s="82"/>
      <c r="AC191" s="82"/>
      <c r="AD191" s="23"/>
      <c r="AE191" s="7" t="s">
        <v>419</v>
      </c>
      <c r="AH191" s="23">
        <f>SUM('2020 detail'!J191:U191)+'2020 detail'!AA191+'2020 detail'!AB191</f>
        <v>6131.02</v>
      </c>
      <c r="AJ191" s="23">
        <f t="shared" si="31"/>
        <v>139.97999999999956</v>
      </c>
      <c r="AL191" t="str">
        <f t="shared" si="38"/>
        <v>Up</v>
      </c>
      <c r="AQ191" s="23">
        <v>2771</v>
      </c>
    </row>
    <row r="192" spans="1:43" x14ac:dyDescent="0.2">
      <c r="A192" s="144" t="s">
        <v>156</v>
      </c>
      <c r="B192" s="9" t="s">
        <v>495</v>
      </c>
      <c r="C192" s="9" t="s">
        <v>495</v>
      </c>
      <c r="D192" s="9" t="s">
        <v>495</v>
      </c>
      <c r="E192" s="9"/>
      <c r="F192" s="9">
        <v>0</v>
      </c>
      <c r="G192" s="83">
        <v>2150</v>
      </c>
      <c r="H192" s="83">
        <f t="shared" si="35"/>
        <v>0</v>
      </c>
      <c r="I192" s="133">
        <f t="shared" si="39"/>
        <v>0</v>
      </c>
      <c r="J192" s="82">
        <v>0</v>
      </c>
      <c r="K192" s="82"/>
      <c r="L192" s="82"/>
      <c r="M192" s="82"/>
      <c r="N192" s="82"/>
      <c r="O192" s="82"/>
      <c r="P192" s="82"/>
      <c r="Q192" s="82"/>
      <c r="R192" s="82"/>
      <c r="S192" s="23"/>
      <c r="T192" s="23"/>
      <c r="U192" s="23"/>
      <c r="V192" s="7" t="s">
        <v>635</v>
      </c>
      <c r="W192" s="82">
        <f t="shared" si="37"/>
        <v>2150</v>
      </c>
      <c r="AA192" s="82">
        <v>0</v>
      </c>
      <c r="AB192" s="82"/>
      <c r="AC192" s="82"/>
      <c r="AD192" s="23"/>
      <c r="AE192" s="7" t="s">
        <v>419</v>
      </c>
      <c r="AH192" s="23">
        <f>SUM('2020 detail'!J192:U192)+'2020 detail'!AA192+'2020 detail'!AB192</f>
        <v>2100</v>
      </c>
      <c r="AJ192" s="23">
        <f t="shared" si="31"/>
        <v>-2100</v>
      </c>
      <c r="AL192" t="str">
        <f t="shared" si="38"/>
        <v>Down</v>
      </c>
    </row>
    <row r="193" spans="1:44" x14ac:dyDescent="0.2">
      <c r="A193" s="144" t="s">
        <v>157</v>
      </c>
      <c r="B193" s="9">
        <v>0</v>
      </c>
      <c r="C193" s="9" t="s">
        <v>495</v>
      </c>
      <c r="D193" s="9" t="s">
        <v>495</v>
      </c>
      <c r="E193" s="9"/>
      <c r="F193" s="9" t="s">
        <v>495</v>
      </c>
      <c r="G193" s="83">
        <v>10847</v>
      </c>
      <c r="H193" s="83">
        <f t="shared" si="35"/>
        <v>10847</v>
      </c>
      <c r="I193" s="133">
        <f t="shared" si="39"/>
        <v>1</v>
      </c>
      <c r="J193" s="82">
        <v>903.99</v>
      </c>
      <c r="K193" s="82">
        <v>903.91</v>
      </c>
      <c r="L193" s="82">
        <v>903.91</v>
      </c>
      <c r="M193" s="82">
        <v>903.91</v>
      </c>
      <c r="N193" s="82">
        <v>903.91</v>
      </c>
      <c r="O193" s="82">
        <v>903.91</v>
      </c>
      <c r="P193" s="82">
        <v>903.91</v>
      </c>
      <c r="Q193" s="82">
        <v>903.91</v>
      </c>
      <c r="R193" s="82">
        <v>903.91</v>
      </c>
      <c r="S193" s="23">
        <v>903.91</v>
      </c>
      <c r="T193" s="23">
        <v>903.91</v>
      </c>
      <c r="U193" s="23">
        <v>903.91</v>
      </c>
      <c r="V193" s="7" t="s">
        <v>636</v>
      </c>
      <c r="W193" s="82">
        <f t="shared" si="37"/>
        <v>0</v>
      </c>
      <c r="AA193" s="82">
        <v>0</v>
      </c>
      <c r="AB193" s="82"/>
      <c r="AC193" s="82"/>
      <c r="AD193" s="23"/>
      <c r="AE193" s="7" t="s">
        <v>426</v>
      </c>
      <c r="AH193" s="23">
        <f>SUM('2020 detail'!J193:U193)+'2020 detail'!AA193+'2020 detail'!AB193</f>
        <v>10847.000000000002</v>
      </c>
      <c r="AJ193" s="23">
        <f t="shared" si="31"/>
        <v>0</v>
      </c>
      <c r="AL193" t="str">
        <f t="shared" si="38"/>
        <v>Same</v>
      </c>
      <c r="AQ193" s="23">
        <v>903.91</v>
      </c>
    </row>
    <row r="194" spans="1:44" x14ac:dyDescent="0.2">
      <c r="A194" s="144" t="s">
        <v>158</v>
      </c>
      <c r="B194" s="9" t="s">
        <v>495</v>
      </c>
      <c r="C194" s="9" t="s">
        <v>495</v>
      </c>
      <c r="D194" s="9" t="s">
        <v>495</v>
      </c>
      <c r="E194" s="9"/>
      <c r="F194" s="9" t="s">
        <v>495</v>
      </c>
      <c r="G194" s="83">
        <v>6200</v>
      </c>
      <c r="H194" s="83">
        <f t="shared" si="35"/>
        <v>2400</v>
      </c>
      <c r="I194" s="133">
        <f t="shared" si="39"/>
        <v>0.3871</v>
      </c>
      <c r="J194" s="82">
        <v>200</v>
      </c>
      <c r="K194" s="82">
        <v>200</v>
      </c>
      <c r="L194" s="82">
        <v>200</v>
      </c>
      <c r="M194" s="82">
        <v>200</v>
      </c>
      <c r="N194" s="82">
        <v>200</v>
      </c>
      <c r="O194" s="82">
        <v>200</v>
      </c>
      <c r="P194" s="82">
        <v>200</v>
      </c>
      <c r="Q194" s="82">
        <v>200</v>
      </c>
      <c r="R194" s="82">
        <v>200</v>
      </c>
      <c r="S194" s="23">
        <v>200</v>
      </c>
      <c r="T194" s="23">
        <v>200</v>
      </c>
      <c r="U194" s="23">
        <v>200</v>
      </c>
      <c r="V194" s="7" t="s">
        <v>637</v>
      </c>
      <c r="W194" s="82">
        <f t="shared" si="37"/>
        <v>3800</v>
      </c>
      <c r="AA194" s="82">
        <v>0</v>
      </c>
      <c r="AB194" s="82"/>
      <c r="AC194" s="82"/>
      <c r="AD194" s="23"/>
      <c r="AE194" s="7" t="s">
        <v>419</v>
      </c>
      <c r="AH194" s="23">
        <f>SUM('2020 detail'!J194:U194)+'2020 detail'!AA194+'2020 detail'!AB194</f>
        <v>6058.9999999999991</v>
      </c>
      <c r="AJ194" s="23">
        <f t="shared" si="31"/>
        <v>-3658.9999999999991</v>
      </c>
      <c r="AL194" t="str">
        <f t="shared" si="38"/>
        <v>Down</v>
      </c>
      <c r="AQ194" s="23">
        <v>200</v>
      </c>
    </row>
    <row r="195" spans="1:44" x14ac:dyDescent="0.2">
      <c r="A195" s="144" t="s">
        <v>159</v>
      </c>
      <c r="B195" s="9" t="s">
        <v>495</v>
      </c>
      <c r="C195" s="9">
        <v>0</v>
      </c>
      <c r="D195" s="9">
        <v>0</v>
      </c>
      <c r="E195" s="9"/>
      <c r="F195" s="9" t="s">
        <v>638</v>
      </c>
      <c r="G195" s="83">
        <v>22364</v>
      </c>
      <c r="H195" s="83">
        <f t="shared" si="35"/>
        <v>5000</v>
      </c>
      <c r="I195" s="133">
        <f t="shared" si="39"/>
        <v>0.22359999999999999</v>
      </c>
      <c r="J195" s="82">
        <v>250</v>
      </c>
      <c r="K195" s="82">
        <v>250</v>
      </c>
      <c r="L195" s="82">
        <v>250</v>
      </c>
      <c r="M195" s="82">
        <v>250</v>
      </c>
      <c r="N195" s="82">
        <v>250</v>
      </c>
      <c r="O195" s="82">
        <v>250</v>
      </c>
      <c r="P195" s="82">
        <v>250</v>
      </c>
      <c r="Q195" s="82">
        <v>250</v>
      </c>
      <c r="R195" s="82">
        <v>250</v>
      </c>
      <c r="S195" s="23">
        <v>250</v>
      </c>
      <c r="T195" s="23">
        <v>250</v>
      </c>
      <c r="U195" s="23">
        <v>250</v>
      </c>
      <c r="V195" s="7" t="s">
        <v>639</v>
      </c>
      <c r="W195" s="82">
        <f t="shared" si="37"/>
        <v>17364</v>
      </c>
      <c r="AA195" s="82">
        <v>2000</v>
      </c>
      <c r="AB195" s="82"/>
      <c r="AC195" s="82"/>
      <c r="AD195" s="23"/>
      <c r="AE195" s="7" t="s">
        <v>425</v>
      </c>
      <c r="AH195" s="23">
        <f>SUM('2020 detail'!J195:U195)+'2020 detail'!AA195+'2020 detail'!AB195</f>
        <v>10000</v>
      </c>
      <c r="AJ195" s="23">
        <f t="shared" si="31"/>
        <v>-5000</v>
      </c>
      <c r="AL195" t="str">
        <f t="shared" si="38"/>
        <v>Down</v>
      </c>
      <c r="AQ195" s="23">
        <v>250</v>
      </c>
    </row>
    <row r="196" spans="1:44" x14ac:dyDescent="0.2">
      <c r="A196" s="144" t="s">
        <v>160</v>
      </c>
      <c r="B196" s="9" t="s">
        <v>495</v>
      </c>
      <c r="C196" s="9" t="s">
        <v>495</v>
      </c>
      <c r="D196" s="9">
        <v>0</v>
      </c>
      <c r="E196" s="9"/>
      <c r="F196" s="9">
        <v>0</v>
      </c>
      <c r="G196" s="83">
        <v>41533</v>
      </c>
      <c r="H196" s="83">
        <f t="shared" si="35"/>
        <v>10000</v>
      </c>
      <c r="I196" s="133">
        <f t="shared" si="39"/>
        <v>0.24079999999999999</v>
      </c>
      <c r="J196" s="82">
        <v>0</v>
      </c>
      <c r="K196" s="82"/>
      <c r="L196" s="82"/>
      <c r="M196" s="82"/>
      <c r="N196" s="82"/>
      <c r="O196" s="82"/>
      <c r="P196" s="82"/>
      <c r="Q196" s="82"/>
      <c r="R196" s="82"/>
      <c r="S196" s="23"/>
      <c r="T196" s="23"/>
      <c r="U196" s="23">
        <v>10000</v>
      </c>
      <c r="V196" s="7" t="s">
        <v>640</v>
      </c>
      <c r="W196" s="82">
        <f t="shared" si="37"/>
        <v>31533</v>
      </c>
      <c r="AA196" s="82">
        <v>0</v>
      </c>
      <c r="AB196" s="82"/>
      <c r="AC196" s="82"/>
      <c r="AD196" s="23"/>
      <c r="AE196" s="7" t="s">
        <v>425</v>
      </c>
      <c r="AH196" s="23">
        <f>SUM('2020 detail'!J196:U196)+'2020 detail'!AA196+'2020 detail'!AB196</f>
        <v>9000</v>
      </c>
      <c r="AJ196" s="23">
        <f t="shared" si="31"/>
        <v>1000</v>
      </c>
      <c r="AL196" t="str">
        <f t="shared" si="38"/>
        <v>Up</v>
      </c>
      <c r="AQ196" s="23">
        <v>10000</v>
      </c>
    </row>
    <row r="197" spans="1:44" x14ac:dyDescent="0.2">
      <c r="A197" s="144" t="s">
        <v>161</v>
      </c>
      <c r="B197" s="9" t="s">
        <v>495</v>
      </c>
      <c r="C197" s="9">
        <v>0</v>
      </c>
      <c r="D197" s="9">
        <v>0</v>
      </c>
      <c r="E197" s="9"/>
      <c r="F197" s="9" t="s">
        <v>495</v>
      </c>
      <c r="G197" s="83">
        <v>16421</v>
      </c>
      <c r="H197" s="83">
        <f t="shared" si="35"/>
        <v>16420.75</v>
      </c>
      <c r="I197" s="133">
        <f t="shared" si="39"/>
        <v>1</v>
      </c>
      <c r="J197" s="82">
        <v>1000</v>
      </c>
      <c r="K197" s="82">
        <v>1000</v>
      </c>
      <c r="L197" s="82">
        <v>1361.75</v>
      </c>
      <c r="M197" s="82">
        <v>1000</v>
      </c>
      <c r="N197" s="82">
        <v>1000</v>
      </c>
      <c r="O197" s="82">
        <v>1000</v>
      </c>
      <c r="P197" s="82">
        <v>1000</v>
      </c>
      <c r="Q197" s="82">
        <v>1000</v>
      </c>
      <c r="R197" s="82">
        <v>1000</v>
      </c>
      <c r="S197" s="23">
        <v>1000</v>
      </c>
      <c r="T197" s="23">
        <v>1000</v>
      </c>
      <c r="U197" s="23">
        <v>5059</v>
      </c>
      <c r="V197" s="7" t="s">
        <v>641</v>
      </c>
      <c r="W197" s="82">
        <f t="shared" si="37"/>
        <v>0.25</v>
      </c>
      <c r="AA197" s="82">
        <v>0</v>
      </c>
      <c r="AB197" s="82"/>
      <c r="AC197" s="82"/>
      <c r="AD197" s="23"/>
      <c r="AE197" s="7" t="s">
        <v>423</v>
      </c>
      <c r="AH197" s="23">
        <f>SUM('2020 detail'!J197:U197)+'2020 detail'!AA197+'2020 detail'!AB197</f>
        <v>16322</v>
      </c>
      <c r="AJ197" s="23">
        <f t="shared" si="31"/>
        <v>98.75</v>
      </c>
      <c r="AL197" t="str">
        <f t="shared" si="38"/>
        <v>Up</v>
      </c>
      <c r="AQ197" s="23">
        <v>5059</v>
      </c>
    </row>
    <row r="198" spans="1:44" x14ac:dyDescent="0.2">
      <c r="A198" s="144" t="s">
        <v>162</v>
      </c>
      <c r="B198" s="9" t="s">
        <v>495</v>
      </c>
      <c r="C198" s="9" t="s">
        <v>495</v>
      </c>
      <c r="D198" s="9">
        <v>0</v>
      </c>
      <c r="E198" s="9"/>
      <c r="F198" s="9">
        <v>0</v>
      </c>
      <c r="G198" s="83">
        <v>14787</v>
      </c>
      <c r="H198" s="83">
        <f t="shared" si="35"/>
        <v>14787</v>
      </c>
      <c r="I198" s="133">
        <f t="shared" si="39"/>
        <v>1</v>
      </c>
      <c r="J198" s="82">
        <v>1000</v>
      </c>
      <c r="K198" s="82">
        <v>1000</v>
      </c>
      <c r="L198" s="82">
        <v>1325.75</v>
      </c>
      <c r="M198" s="82">
        <v>1000</v>
      </c>
      <c r="N198" s="82">
        <v>1000</v>
      </c>
      <c r="O198" s="82">
        <v>2200</v>
      </c>
      <c r="P198" s="82">
        <v>1000</v>
      </c>
      <c r="Q198" s="82">
        <v>1000</v>
      </c>
      <c r="R198" s="82">
        <v>1000</v>
      </c>
      <c r="S198" s="23">
        <v>1000</v>
      </c>
      <c r="T198" s="23">
        <v>1000</v>
      </c>
      <c r="U198" s="23">
        <v>2261.25</v>
      </c>
      <c r="V198" s="7" t="s">
        <v>642</v>
      </c>
      <c r="W198" s="82">
        <f t="shared" si="37"/>
        <v>0</v>
      </c>
      <c r="AA198" s="82">
        <v>0</v>
      </c>
      <c r="AB198" s="82"/>
      <c r="AC198" s="82"/>
      <c r="AD198" s="23"/>
      <c r="AE198" s="7" t="s">
        <v>423</v>
      </c>
      <c r="AH198" s="23">
        <f>SUM('2020 detail'!J198:U198)+'2020 detail'!AA198+'2020 detail'!AB198</f>
        <v>14672</v>
      </c>
      <c r="AJ198" s="23">
        <f t="shared" si="31"/>
        <v>115</v>
      </c>
      <c r="AL198" t="str">
        <f t="shared" si="38"/>
        <v>Up</v>
      </c>
      <c r="AQ198" s="23">
        <v>2261.25</v>
      </c>
    </row>
    <row r="199" spans="1:44" x14ac:dyDescent="0.2">
      <c r="A199" s="144" t="s">
        <v>163</v>
      </c>
      <c r="B199" s="9">
        <v>0</v>
      </c>
      <c r="C199" s="9" t="s">
        <v>495</v>
      </c>
      <c r="D199" s="9">
        <v>0</v>
      </c>
      <c r="E199" s="9"/>
      <c r="F199" s="9" t="s">
        <v>495</v>
      </c>
      <c r="G199" s="83">
        <v>19853</v>
      </c>
      <c r="H199" s="83">
        <f t="shared" si="35"/>
        <v>19853</v>
      </c>
      <c r="I199" s="133">
        <f t="shared" si="39"/>
        <v>1</v>
      </c>
      <c r="J199" s="82">
        <v>1758.49</v>
      </c>
      <c r="K199" s="82">
        <v>1654.41</v>
      </c>
      <c r="L199" s="82">
        <v>1654.41</v>
      </c>
      <c r="M199" s="82">
        <v>1654.41</v>
      </c>
      <c r="N199" s="82">
        <v>1654.41</v>
      </c>
      <c r="O199" s="82">
        <v>1654.41</v>
      </c>
      <c r="P199" s="82">
        <v>1654.41</v>
      </c>
      <c r="Q199" s="82">
        <v>1654.41</v>
      </c>
      <c r="R199" s="82">
        <v>1654.41</v>
      </c>
      <c r="S199" s="23">
        <v>1654.41</v>
      </c>
      <c r="T199" s="23">
        <v>1654.41</v>
      </c>
      <c r="U199" s="23">
        <v>1550.41</v>
      </c>
      <c r="V199" s="7" t="s">
        <v>643</v>
      </c>
      <c r="W199" s="82">
        <f t="shared" si="37"/>
        <v>0</v>
      </c>
      <c r="AA199" s="82">
        <v>0</v>
      </c>
      <c r="AB199" s="82"/>
      <c r="AC199" s="82"/>
      <c r="AD199" s="23"/>
      <c r="AE199" s="7" t="s">
        <v>426</v>
      </c>
      <c r="AH199" s="23">
        <f>SUM('2020 detail'!J199:U199)+'2020 detail'!AA199+'2020 detail'!AB199</f>
        <v>19748.999999999996</v>
      </c>
      <c r="AJ199" s="23">
        <f t="shared" si="31"/>
        <v>104.00000000000364</v>
      </c>
      <c r="AL199" t="str">
        <f t="shared" si="38"/>
        <v>Up</v>
      </c>
      <c r="AQ199" s="23">
        <v>1550.41</v>
      </c>
      <c r="AR199" t="s">
        <v>1114</v>
      </c>
    </row>
    <row r="200" spans="1:44" x14ac:dyDescent="0.2">
      <c r="A200" s="144" t="s">
        <v>164</v>
      </c>
      <c r="B200" s="9" t="s">
        <v>495</v>
      </c>
      <c r="C200" s="9" t="s">
        <v>495</v>
      </c>
      <c r="D200" s="9">
        <v>0</v>
      </c>
      <c r="E200" s="9"/>
      <c r="F200" s="9">
        <v>0</v>
      </c>
      <c r="G200" s="83">
        <v>2681</v>
      </c>
      <c r="H200" s="83">
        <f t="shared" si="35"/>
        <v>2681</v>
      </c>
      <c r="I200" s="133">
        <f t="shared" si="39"/>
        <v>1</v>
      </c>
      <c r="J200" s="82">
        <v>0</v>
      </c>
      <c r="K200" s="82"/>
      <c r="L200" s="82"/>
      <c r="M200" s="82"/>
      <c r="N200" s="82"/>
      <c r="O200" s="82"/>
      <c r="P200" s="82"/>
      <c r="Q200" s="82"/>
      <c r="R200" s="82"/>
      <c r="S200" s="23"/>
      <c r="T200" s="23">
        <v>2681</v>
      </c>
      <c r="U200" s="23"/>
      <c r="V200" s="7" t="s">
        <v>644</v>
      </c>
      <c r="W200" s="82">
        <f t="shared" si="37"/>
        <v>0</v>
      </c>
      <c r="AA200" s="82">
        <v>0</v>
      </c>
      <c r="AB200" s="82"/>
      <c r="AC200" s="82"/>
      <c r="AD200" s="23"/>
      <c r="AE200" s="7" t="s">
        <v>426</v>
      </c>
      <c r="AH200" s="23">
        <f>SUM('2020 detail'!J200:U200)+'2020 detail'!AA200+'2020 detail'!AB200</f>
        <v>2681</v>
      </c>
      <c r="AJ200" s="23">
        <f t="shared" si="31"/>
        <v>0</v>
      </c>
      <c r="AL200" t="str">
        <f t="shared" si="38"/>
        <v>Same</v>
      </c>
    </row>
    <row r="201" spans="1:44" x14ac:dyDescent="0.2">
      <c r="A201" s="144" t="s">
        <v>165</v>
      </c>
      <c r="B201" s="9">
        <v>0</v>
      </c>
      <c r="C201" s="9" t="s">
        <v>495</v>
      </c>
      <c r="D201" s="9">
        <v>0</v>
      </c>
      <c r="E201" s="9"/>
      <c r="F201" s="9" t="s">
        <v>495</v>
      </c>
      <c r="G201" s="83">
        <v>12712</v>
      </c>
      <c r="H201" s="83">
        <f t="shared" si="35"/>
        <v>12712</v>
      </c>
      <c r="I201" s="133">
        <f t="shared" si="39"/>
        <v>1</v>
      </c>
      <c r="J201" s="82">
        <v>1059.3699999999999</v>
      </c>
      <c r="K201" s="82">
        <v>1059.33</v>
      </c>
      <c r="L201" s="82">
        <v>1059.33</v>
      </c>
      <c r="M201" s="82">
        <v>1059.33</v>
      </c>
      <c r="N201" s="82">
        <v>1059.33</v>
      </c>
      <c r="O201" s="82">
        <v>1059.33</v>
      </c>
      <c r="P201" s="82">
        <v>1059.33</v>
      </c>
      <c r="Q201" s="82">
        <v>1059.33</v>
      </c>
      <c r="R201" s="82">
        <v>1059.33</v>
      </c>
      <c r="S201" s="23">
        <v>1059.33</v>
      </c>
      <c r="T201" s="23">
        <v>1059.33</v>
      </c>
      <c r="U201" s="23">
        <v>1059.33</v>
      </c>
      <c r="V201" s="7" t="s">
        <v>645</v>
      </c>
      <c r="W201" s="82">
        <f t="shared" si="37"/>
        <v>0</v>
      </c>
      <c r="AA201" s="82">
        <v>0</v>
      </c>
      <c r="AB201" s="82"/>
      <c r="AC201" s="82"/>
      <c r="AD201" s="23"/>
      <c r="AE201" s="7" t="s">
        <v>426</v>
      </c>
      <c r="AH201" s="23">
        <f>SUM('2020 detail'!J201:U201)+'2020 detail'!AA201+'2020 detail'!AB201</f>
        <v>12078</v>
      </c>
      <c r="AJ201" s="23">
        <f t="shared" ref="AJ201:AJ255" si="40">H201-AH201</f>
        <v>634</v>
      </c>
      <c r="AL201" t="str">
        <f t="shared" si="38"/>
        <v>Up</v>
      </c>
      <c r="AQ201" s="23">
        <v>1059.33</v>
      </c>
    </row>
    <row r="202" spans="1:44" x14ac:dyDescent="0.2">
      <c r="A202" s="144" t="s">
        <v>166</v>
      </c>
      <c r="B202" s="9" t="s">
        <v>495</v>
      </c>
      <c r="C202" s="9" t="s">
        <v>495</v>
      </c>
      <c r="D202" s="9" t="s">
        <v>495</v>
      </c>
      <c r="E202" s="9"/>
      <c r="F202" s="9" t="s">
        <v>495</v>
      </c>
      <c r="G202" s="83">
        <v>26870</v>
      </c>
      <c r="H202" s="83">
        <f t="shared" si="35"/>
        <v>26870</v>
      </c>
      <c r="I202" s="133">
        <f t="shared" si="39"/>
        <v>1</v>
      </c>
      <c r="J202" s="82">
        <v>1000</v>
      </c>
      <c r="K202" s="82">
        <v>1000</v>
      </c>
      <c r="L202" s="82">
        <v>1000</v>
      </c>
      <c r="M202" s="82">
        <v>1000</v>
      </c>
      <c r="N202" s="82">
        <v>1000</v>
      </c>
      <c r="O202" s="82">
        <v>1000</v>
      </c>
      <c r="P202" s="82">
        <v>1000</v>
      </c>
      <c r="Q202" s="82">
        <v>1000</v>
      </c>
      <c r="R202" s="82">
        <v>1000</v>
      </c>
      <c r="S202" s="23">
        <v>1000</v>
      </c>
      <c r="T202" s="23">
        <v>4000</v>
      </c>
      <c r="U202" s="23">
        <v>11000</v>
      </c>
      <c r="V202" s="7" t="s">
        <v>646</v>
      </c>
      <c r="W202" s="82">
        <f t="shared" si="37"/>
        <v>0</v>
      </c>
      <c r="AA202" s="82">
        <v>1870</v>
      </c>
      <c r="AB202" s="82"/>
      <c r="AC202" s="82"/>
      <c r="AD202" s="23"/>
      <c r="AE202" s="7" t="s">
        <v>427</v>
      </c>
      <c r="AH202" s="23">
        <f>SUM('2020 detail'!J202:U202)+'2020 detail'!AA202+'2020 detail'!AB202</f>
        <v>26870</v>
      </c>
      <c r="AJ202" s="23">
        <f t="shared" si="40"/>
        <v>0</v>
      </c>
      <c r="AL202" t="str">
        <f t="shared" si="38"/>
        <v>Same</v>
      </c>
      <c r="AQ202" s="23">
        <v>11000</v>
      </c>
    </row>
    <row r="203" spans="1:44" x14ac:dyDescent="0.2">
      <c r="A203" s="144" t="s">
        <v>167</v>
      </c>
      <c r="B203" s="9" t="s">
        <v>495</v>
      </c>
      <c r="C203" s="9" t="s">
        <v>495</v>
      </c>
      <c r="D203" s="9">
        <v>0</v>
      </c>
      <c r="E203" s="9"/>
      <c r="F203" s="9" t="s">
        <v>495</v>
      </c>
      <c r="G203" s="83">
        <v>10797</v>
      </c>
      <c r="H203" s="83">
        <f t="shared" si="35"/>
        <v>10796.999999999996</v>
      </c>
      <c r="I203" s="133">
        <f t="shared" si="39"/>
        <v>1</v>
      </c>
      <c r="J203" s="82">
        <v>901.84</v>
      </c>
      <c r="K203" s="82">
        <v>899.56</v>
      </c>
      <c r="L203" s="82">
        <v>899.56</v>
      </c>
      <c r="M203" s="82">
        <v>899.56</v>
      </c>
      <c r="N203" s="82">
        <v>899.56</v>
      </c>
      <c r="O203" s="82">
        <v>899.56</v>
      </c>
      <c r="P203" s="82">
        <v>899.56</v>
      </c>
      <c r="Q203" s="82">
        <v>899.56</v>
      </c>
      <c r="R203" s="82">
        <v>899.56</v>
      </c>
      <c r="S203" s="23">
        <v>899.56</v>
      </c>
      <c r="T203" s="23">
        <v>899.56</v>
      </c>
      <c r="U203" s="23">
        <v>899.56</v>
      </c>
      <c r="V203" s="7" t="s">
        <v>647</v>
      </c>
      <c r="W203" s="82">
        <f t="shared" si="37"/>
        <v>0</v>
      </c>
      <c r="AA203" s="82">
        <v>0</v>
      </c>
      <c r="AB203" s="82"/>
      <c r="AC203" s="82"/>
      <c r="AD203" s="23"/>
      <c r="AE203" s="7" t="s">
        <v>427</v>
      </c>
      <c r="AH203" s="23">
        <f>SUM('2020 detail'!J203:U203)+'2020 detail'!AA203+'2020 detail'!AB203</f>
        <v>10797</v>
      </c>
      <c r="AJ203" s="23">
        <f t="shared" si="40"/>
        <v>0</v>
      </c>
      <c r="AL203" t="str">
        <f t="shared" si="38"/>
        <v>Same</v>
      </c>
      <c r="AQ203" s="23">
        <v>899.56</v>
      </c>
    </row>
    <row r="204" spans="1:44" x14ac:dyDescent="0.2">
      <c r="A204" s="144" t="s">
        <v>168</v>
      </c>
      <c r="B204" s="9">
        <v>0</v>
      </c>
      <c r="C204" s="9" t="s">
        <v>495</v>
      </c>
      <c r="D204" s="9" t="s">
        <v>495</v>
      </c>
      <c r="E204" s="9"/>
      <c r="F204" s="9">
        <v>0</v>
      </c>
      <c r="G204" s="83">
        <v>2338</v>
      </c>
      <c r="H204" s="83">
        <f t="shared" si="35"/>
        <v>2338</v>
      </c>
      <c r="I204" s="133">
        <f t="shared" si="39"/>
        <v>1</v>
      </c>
      <c r="J204" s="82">
        <v>0</v>
      </c>
      <c r="K204" s="82"/>
      <c r="L204" s="82">
        <v>233.8</v>
      </c>
      <c r="M204" s="82">
        <v>233.8</v>
      </c>
      <c r="N204" s="82">
        <v>233.8</v>
      </c>
      <c r="O204" s="82">
        <v>233.8</v>
      </c>
      <c r="P204" s="82">
        <v>233.8</v>
      </c>
      <c r="Q204" s="82">
        <v>233.8</v>
      </c>
      <c r="R204" s="82">
        <v>233.8</v>
      </c>
      <c r="S204" s="23">
        <v>233.8</v>
      </c>
      <c r="T204" s="23">
        <v>233.8</v>
      </c>
      <c r="U204" s="23">
        <v>233.8</v>
      </c>
      <c r="V204" s="7" t="s">
        <v>648</v>
      </c>
      <c r="W204" s="82">
        <f t="shared" si="37"/>
        <v>0</v>
      </c>
      <c r="AA204" s="82">
        <v>0</v>
      </c>
      <c r="AB204" s="82"/>
      <c r="AC204" s="82"/>
      <c r="AD204" s="23"/>
      <c r="AE204" s="7" t="s">
        <v>427</v>
      </c>
      <c r="AH204" s="23">
        <f>SUM('2020 detail'!J204:U204)+'2020 detail'!AA204+'2020 detail'!AB204</f>
        <v>2338</v>
      </c>
      <c r="AJ204" s="23">
        <f t="shared" si="40"/>
        <v>0</v>
      </c>
      <c r="AL204" t="str">
        <f t="shared" si="38"/>
        <v>Same</v>
      </c>
      <c r="AQ204" s="23">
        <v>233.8</v>
      </c>
    </row>
    <row r="205" spans="1:44" x14ac:dyDescent="0.2">
      <c r="A205" s="144" t="s">
        <v>169</v>
      </c>
      <c r="B205" s="9" t="s">
        <v>495</v>
      </c>
      <c r="C205" s="9" t="s">
        <v>495</v>
      </c>
      <c r="D205" s="9" t="s">
        <v>495</v>
      </c>
      <c r="E205" s="9"/>
      <c r="F205" s="9">
        <v>0</v>
      </c>
      <c r="G205" s="83">
        <v>21563</v>
      </c>
      <c r="H205" s="83">
        <f t="shared" si="35"/>
        <v>16200</v>
      </c>
      <c r="I205" s="133">
        <f t="shared" si="39"/>
        <v>0.75129999999999997</v>
      </c>
      <c r="J205" s="82">
        <v>1800</v>
      </c>
      <c r="K205" s="82"/>
      <c r="L205" s="82"/>
      <c r="M205" s="82">
        <v>1800</v>
      </c>
      <c r="N205" s="82">
        <v>1800</v>
      </c>
      <c r="O205" s="82"/>
      <c r="P205" s="82">
        <v>1800</v>
      </c>
      <c r="Q205" s="82">
        <v>1800</v>
      </c>
      <c r="R205" s="82"/>
      <c r="S205" s="23">
        <v>1800</v>
      </c>
      <c r="T205" s="23">
        <v>1800</v>
      </c>
      <c r="U205" s="23">
        <v>3600</v>
      </c>
      <c r="V205" s="7" t="s">
        <v>649</v>
      </c>
      <c r="W205" s="82">
        <f t="shared" si="37"/>
        <v>5363</v>
      </c>
      <c r="AA205" s="82">
        <v>0</v>
      </c>
      <c r="AB205" s="82"/>
      <c r="AC205" s="82"/>
      <c r="AD205" s="23"/>
      <c r="AE205" s="7" t="s">
        <v>424</v>
      </c>
      <c r="AH205" s="23">
        <f>SUM('2020 detail'!J205:U205)+'2020 detail'!AA205+'2020 detail'!AB205</f>
        <v>16200</v>
      </c>
      <c r="AJ205" s="23">
        <f t="shared" si="40"/>
        <v>0</v>
      </c>
      <c r="AL205" t="str">
        <f t="shared" si="38"/>
        <v>Same</v>
      </c>
      <c r="AQ205" s="23">
        <v>3600</v>
      </c>
    </row>
    <row r="206" spans="1:44" x14ac:dyDescent="0.2">
      <c r="A206" s="144" t="s">
        <v>170</v>
      </c>
      <c r="B206" s="9" t="s">
        <v>495</v>
      </c>
      <c r="C206" s="9" t="s">
        <v>495</v>
      </c>
      <c r="D206" s="9" t="s">
        <v>495</v>
      </c>
      <c r="E206" s="9"/>
      <c r="F206" s="9" t="s">
        <v>495</v>
      </c>
      <c r="G206" s="83">
        <v>1252</v>
      </c>
      <c r="H206" s="83">
        <f t="shared" si="35"/>
        <v>1252</v>
      </c>
      <c r="I206" s="133">
        <f t="shared" si="39"/>
        <v>1</v>
      </c>
      <c r="J206" s="82">
        <v>104.37</v>
      </c>
      <c r="K206" s="82">
        <v>104.33</v>
      </c>
      <c r="L206" s="82">
        <v>104.33</v>
      </c>
      <c r="M206" s="82">
        <v>104.33</v>
      </c>
      <c r="N206" s="82">
        <v>104.33</v>
      </c>
      <c r="O206" s="82">
        <v>104.33</v>
      </c>
      <c r="P206" s="82">
        <v>104.33</v>
      </c>
      <c r="Q206" s="82">
        <v>104.33</v>
      </c>
      <c r="R206" s="82">
        <v>104.33</v>
      </c>
      <c r="S206" s="23">
        <v>104.33</v>
      </c>
      <c r="T206" s="23">
        <v>104.33</v>
      </c>
      <c r="U206" s="23">
        <v>104.33</v>
      </c>
      <c r="V206" s="7" t="s">
        <v>650</v>
      </c>
      <c r="W206" s="82">
        <f t="shared" si="37"/>
        <v>0</v>
      </c>
      <c r="AA206" s="82">
        <v>0</v>
      </c>
      <c r="AB206" s="82"/>
      <c r="AC206" s="82"/>
      <c r="AD206" s="23"/>
      <c r="AE206" s="7" t="s">
        <v>424</v>
      </c>
      <c r="AH206" s="23">
        <f>SUM('2020 detail'!J206:U206)+'2020 detail'!AA206+'2020 detail'!AB206</f>
        <v>1252</v>
      </c>
      <c r="AJ206" s="23">
        <f t="shared" si="40"/>
        <v>0</v>
      </c>
      <c r="AL206" t="str">
        <f t="shared" si="38"/>
        <v>Same</v>
      </c>
      <c r="AQ206" s="23">
        <v>104.33</v>
      </c>
    </row>
    <row r="207" spans="1:44" x14ac:dyDescent="0.2">
      <c r="A207" s="144" t="s">
        <v>171</v>
      </c>
      <c r="B207" s="9" t="s">
        <v>495</v>
      </c>
      <c r="C207" s="9">
        <v>0</v>
      </c>
      <c r="D207" s="9" t="s">
        <v>495</v>
      </c>
      <c r="E207" s="9"/>
      <c r="F207" s="9">
        <v>0</v>
      </c>
      <c r="G207" s="83">
        <v>5866</v>
      </c>
      <c r="H207" s="83">
        <f t="shared" si="35"/>
        <v>5865.9999999999991</v>
      </c>
      <c r="I207" s="133">
        <f t="shared" si="39"/>
        <v>1</v>
      </c>
      <c r="J207" s="82">
        <v>458.16</v>
      </c>
      <c r="K207" s="82">
        <v>458.16</v>
      </c>
      <c r="L207" s="82">
        <v>458.16</v>
      </c>
      <c r="M207" s="82">
        <v>458.16</v>
      </c>
      <c r="N207" s="82">
        <v>458.16</v>
      </c>
      <c r="O207" s="82">
        <v>458.16</v>
      </c>
      <c r="P207" s="82">
        <v>770.16</v>
      </c>
      <c r="Q207" s="82">
        <v>458.16</v>
      </c>
      <c r="R207" s="82">
        <v>458.16</v>
      </c>
      <c r="S207" s="23">
        <v>458.16</v>
      </c>
      <c r="T207" s="23">
        <v>826.24</v>
      </c>
      <c r="U207" s="23">
        <v>146.16</v>
      </c>
      <c r="V207" s="7" t="s">
        <v>651</v>
      </c>
      <c r="W207" s="82">
        <f t="shared" si="37"/>
        <v>0</v>
      </c>
      <c r="AA207" s="82">
        <v>0</v>
      </c>
      <c r="AB207" s="82"/>
      <c r="AC207" s="82"/>
      <c r="AD207" s="23"/>
      <c r="AE207" s="7" t="s">
        <v>421</v>
      </c>
      <c r="AH207" s="23">
        <f>SUM('2020 detail'!J207:U207)+'2020 detail'!AA207+'2020 detail'!AB207</f>
        <v>5497.9199999999992</v>
      </c>
      <c r="AJ207" s="23">
        <f t="shared" si="40"/>
        <v>368.07999999999993</v>
      </c>
      <c r="AL207" t="str">
        <f t="shared" si="38"/>
        <v>Up</v>
      </c>
      <c r="AQ207" s="23">
        <v>146.16</v>
      </c>
    </row>
    <row r="208" spans="1:44" x14ac:dyDescent="0.2">
      <c r="A208" s="144" t="s">
        <v>172</v>
      </c>
      <c r="B208" s="9" t="s">
        <v>495</v>
      </c>
      <c r="C208" s="9" t="s">
        <v>495</v>
      </c>
      <c r="D208" s="9" t="s">
        <v>495</v>
      </c>
      <c r="E208" s="9"/>
      <c r="F208" s="9" t="s">
        <v>495</v>
      </c>
      <c r="G208" s="83">
        <v>3627</v>
      </c>
      <c r="H208" s="83">
        <f t="shared" si="35"/>
        <v>3627</v>
      </c>
      <c r="I208" s="133">
        <f t="shared" si="39"/>
        <v>1</v>
      </c>
      <c r="J208" s="82">
        <v>302.25</v>
      </c>
      <c r="K208" s="82">
        <v>302.25</v>
      </c>
      <c r="L208" s="82">
        <v>302.25</v>
      </c>
      <c r="M208" s="82">
        <v>302.25</v>
      </c>
      <c r="N208" s="82">
        <v>302.25</v>
      </c>
      <c r="O208" s="82">
        <v>302.25</v>
      </c>
      <c r="P208" s="82">
        <v>302.25</v>
      </c>
      <c r="Q208" s="82">
        <v>302.25</v>
      </c>
      <c r="R208" s="82">
        <v>302.25</v>
      </c>
      <c r="S208" s="23">
        <v>302.25</v>
      </c>
      <c r="T208" s="23">
        <v>302.25</v>
      </c>
      <c r="U208" s="23">
        <v>302.25</v>
      </c>
      <c r="V208" s="7" t="s">
        <v>652</v>
      </c>
      <c r="W208" s="82">
        <f t="shared" si="37"/>
        <v>0</v>
      </c>
      <c r="AA208" s="82">
        <v>0</v>
      </c>
      <c r="AB208" s="82"/>
      <c r="AC208" s="82"/>
      <c r="AD208" s="23"/>
      <c r="AE208" s="7" t="s">
        <v>421</v>
      </c>
      <c r="AH208" s="23">
        <f>SUM('2020 detail'!J208:U208)+'2020 detail'!AA208+'2020 detail'!AB208</f>
        <v>3627</v>
      </c>
      <c r="AJ208" s="23">
        <f t="shared" si="40"/>
        <v>0</v>
      </c>
      <c r="AL208" t="str">
        <f t="shared" si="38"/>
        <v>Same</v>
      </c>
      <c r="AQ208" s="23">
        <v>302.25</v>
      </c>
    </row>
    <row r="209" spans="1:43" x14ac:dyDescent="0.2">
      <c r="A209" s="144" t="s">
        <v>173</v>
      </c>
      <c r="B209" s="9" t="s">
        <v>495</v>
      </c>
      <c r="C209" s="9">
        <v>0</v>
      </c>
      <c r="D209" s="9">
        <v>0</v>
      </c>
      <c r="E209" s="9"/>
      <c r="F209" s="9">
        <v>0</v>
      </c>
      <c r="G209" s="83">
        <v>4120</v>
      </c>
      <c r="H209" s="83">
        <f t="shared" si="35"/>
        <v>1858.3600000000001</v>
      </c>
      <c r="I209" s="133">
        <f t="shared" si="39"/>
        <v>0.4511</v>
      </c>
      <c r="J209" s="82">
        <v>0</v>
      </c>
      <c r="K209" s="82"/>
      <c r="L209" s="82"/>
      <c r="M209" s="82"/>
      <c r="N209" s="82"/>
      <c r="O209" s="82">
        <v>1029</v>
      </c>
      <c r="P209" s="82"/>
      <c r="Q209" s="82"/>
      <c r="R209" s="82"/>
      <c r="S209" s="23"/>
      <c r="T209" s="23"/>
      <c r="U209" s="23">
        <v>829.36</v>
      </c>
      <c r="V209" s="7" t="s">
        <v>653</v>
      </c>
      <c r="W209" s="82">
        <f t="shared" si="37"/>
        <v>2261.64</v>
      </c>
      <c r="AA209" s="82">
        <v>0</v>
      </c>
      <c r="AB209" s="82"/>
      <c r="AC209" s="82"/>
      <c r="AD209" s="23"/>
      <c r="AE209" s="7" t="s">
        <v>421</v>
      </c>
      <c r="AH209" s="23">
        <f>SUM('2020 detail'!J209:U209)+'2020 detail'!AA209+'2020 detail'!AB209</f>
        <v>1477</v>
      </c>
      <c r="AJ209" s="23">
        <f t="shared" si="40"/>
        <v>381.36000000000013</v>
      </c>
      <c r="AL209" t="str">
        <f t="shared" si="38"/>
        <v>Up</v>
      </c>
      <c r="AQ209" s="23">
        <v>829.36</v>
      </c>
    </row>
    <row r="210" spans="1:43" x14ac:dyDescent="0.2">
      <c r="A210" s="144" t="s">
        <v>174</v>
      </c>
      <c r="B210" s="9" t="s">
        <v>495</v>
      </c>
      <c r="C210" s="9" t="s">
        <v>495</v>
      </c>
      <c r="D210" s="9" t="s">
        <v>495</v>
      </c>
      <c r="E210" s="9"/>
      <c r="F210" s="9">
        <v>0</v>
      </c>
      <c r="G210" s="83">
        <v>6139</v>
      </c>
      <c r="H210" s="83">
        <f t="shared" si="35"/>
        <v>6139.25</v>
      </c>
      <c r="I210" s="133">
        <f t="shared" si="39"/>
        <v>1</v>
      </c>
      <c r="J210" s="82">
        <v>0</v>
      </c>
      <c r="K210" s="82"/>
      <c r="L210" s="82">
        <v>3135.25</v>
      </c>
      <c r="M210" s="82"/>
      <c r="N210" s="82"/>
      <c r="O210" s="82">
        <v>1000</v>
      </c>
      <c r="P210" s="82"/>
      <c r="Q210" s="82"/>
      <c r="R210" s="82">
        <v>1000</v>
      </c>
      <c r="S210" s="23"/>
      <c r="T210" s="23"/>
      <c r="U210" s="23">
        <v>1004</v>
      </c>
      <c r="V210" s="7" t="s">
        <v>654</v>
      </c>
      <c r="W210" s="82">
        <f t="shared" si="37"/>
        <v>-0.25</v>
      </c>
      <c r="AA210" s="82">
        <v>0</v>
      </c>
      <c r="AB210" s="82"/>
      <c r="AC210" s="82"/>
      <c r="AD210" s="23"/>
      <c r="AE210" s="7" t="s">
        <v>423</v>
      </c>
      <c r="AH210" s="23">
        <f>SUM('2020 detail'!J210:U210)+'2020 detail'!AA210+'2020 detail'!AB210</f>
        <v>7711</v>
      </c>
      <c r="AJ210" s="23">
        <f t="shared" si="40"/>
        <v>-1571.75</v>
      </c>
      <c r="AL210" t="str">
        <f t="shared" si="38"/>
        <v>Down</v>
      </c>
      <c r="AQ210" s="23">
        <v>1004</v>
      </c>
    </row>
    <row r="211" spans="1:43" x14ac:dyDescent="0.2">
      <c r="G211" s="83"/>
      <c r="H211" s="83"/>
      <c r="I211" s="133"/>
      <c r="AA211" s="82"/>
      <c r="AB211" s="82"/>
      <c r="AC211" s="82"/>
      <c r="AD211" s="23"/>
      <c r="AJ211" s="23"/>
    </row>
    <row r="212" spans="1:43" x14ac:dyDescent="0.2">
      <c r="A212" s="235" t="s">
        <v>1056</v>
      </c>
      <c r="G212" s="83">
        <f>SUM(G167:G211)</f>
        <v>591261</v>
      </c>
      <c r="H212" s="83">
        <f>SUM(H167:H211)</f>
        <v>447029.13</v>
      </c>
      <c r="I212" s="133">
        <f t="shared" ref="I212:I213" si="41">ROUND((H212/G212),4)</f>
        <v>0.75609999999999999</v>
      </c>
      <c r="J212" s="83">
        <f>SUM(J167:J211)</f>
        <v>19926.689999999999</v>
      </c>
      <c r="K212" s="83">
        <f t="shared" ref="K212:W212" si="42">SUM(K167:K211)</f>
        <v>25197.93</v>
      </c>
      <c r="L212" s="83">
        <f t="shared" si="42"/>
        <v>44008.73000000001</v>
      </c>
      <c r="M212" s="83">
        <f t="shared" si="42"/>
        <v>27417.73</v>
      </c>
      <c r="N212" s="83">
        <f t="shared" si="42"/>
        <v>24046.73</v>
      </c>
      <c r="O212" s="83">
        <f t="shared" si="42"/>
        <v>42528.73000000001</v>
      </c>
      <c r="P212" s="83">
        <f t="shared" si="42"/>
        <v>29585.73</v>
      </c>
      <c r="Q212" s="83">
        <f t="shared" si="42"/>
        <v>37194.230000000003</v>
      </c>
      <c r="R212" s="83">
        <f t="shared" si="42"/>
        <v>39131.73000000001</v>
      </c>
      <c r="S212" s="4">
        <f t="shared" si="42"/>
        <v>34511.570000000007</v>
      </c>
      <c r="T212" s="4">
        <f t="shared" si="42"/>
        <v>32867.650000000009</v>
      </c>
      <c r="U212" s="4">
        <f t="shared" si="42"/>
        <v>78415.680000000008</v>
      </c>
      <c r="V212" s="77"/>
      <c r="W212" s="82">
        <f t="shared" si="42"/>
        <v>144231.87000000002</v>
      </c>
      <c r="Y212" s="77"/>
      <c r="Z212" s="77"/>
      <c r="AA212" s="83">
        <f t="shared" ref="AA212:AC212" si="43">SUM(AA167:AA211)</f>
        <v>12196</v>
      </c>
      <c r="AB212" s="83">
        <f t="shared" si="43"/>
        <v>0</v>
      </c>
      <c r="AC212" s="83">
        <f t="shared" si="43"/>
        <v>0</v>
      </c>
      <c r="AD212" s="4"/>
      <c r="AH212" s="23">
        <f>SUM(AH167:AH211)</f>
        <v>455945.17</v>
      </c>
      <c r="AJ212" s="23">
        <f t="shared" si="40"/>
        <v>-8916.039999999979</v>
      </c>
      <c r="AM212" s="11">
        <f>SUM(J212:R212)+SUM(S213:U213)+SUM('2020 detail'!AA211:AC211)</f>
        <v>456251.59000000008</v>
      </c>
      <c r="AN212" s="24">
        <f>ROUND((AM212/G212),4)</f>
        <v>0.77170000000000005</v>
      </c>
      <c r="AO212" s="24">
        <f>ROUND((SUM(J213:U213)/G213),4)</f>
        <v>0.74760000000000004</v>
      </c>
      <c r="AQ212" s="23">
        <f>SUM(AQ167:AQ211)</f>
        <v>78415.680000000008</v>
      </c>
    </row>
    <row r="213" spans="1:43" x14ac:dyDescent="0.2">
      <c r="A213" s="236" t="s">
        <v>1057</v>
      </c>
      <c r="G213" s="206">
        <f>'2020 detail'!G212</f>
        <v>600487</v>
      </c>
      <c r="H213" s="206">
        <f>SUM(J213:AC213)</f>
        <v>456671.17000000004</v>
      </c>
      <c r="I213" s="207">
        <f t="shared" si="41"/>
        <v>0.76049999999999995</v>
      </c>
      <c r="J213" s="206">
        <f>'2020 detail'!J212</f>
        <v>19464.05</v>
      </c>
      <c r="K213" s="206">
        <f>'2020 detail'!K212</f>
        <v>32016.750000000004</v>
      </c>
      <c r="L213" s="206">
        <f>'2020 detail'!L212</f>
        <v>31352.420000000002</v>
      </c>
      <c r="M213" s="206">
        <f>'2020 detail'!M212</f>
        <v>27225.34</v>
      </c>
      <c r="N213" s="206">
        <f>'2020 detail'!N212</f>
        <v>26350.15</v>
      </c>
      <c r="O213" s="206">
        <f>'2020 detail'!O212</f>
        <v>31841.15</v>
      </c>
      <c r="P213" s="206">
        <f>'2020 detail'!P212</f>
        <v>51035.650000000009</v>
      </c>
      <c r="Q213" s="206">
        <f>'2020 detail'!Q212</f>
        <v>29927.15</v>
      </c>
      <c r="R213" s="206">
        <f>'2020 detail'!R212</f>
        <v>32519.15</v>
      </c>
      <c r="S213" s="165">
        <f>'2020 detail'!S212</f>
        <v>31778.820000000003</v>
      </c>
      <c r="T213" s="165">
        <f>'2020 detail'!T212</f>
        <v>53040.920000000013</v>
      </c>
      <c r="U213" s="165">
        <f>'2020 detail'!U212</f>
        <v>82393.62000000001</v>
      </c>
      <c r="AA213" s="165">
        <f>'2020 detail'!AA212</f>
        <v>0</v>
      </c>
      <c r="AB213" s="165">
        <f>'2020 detail'!AB212</f>
        <v>7000</v>
      </c>
      <c r="AC213" s="165">
        <f>'2020 detail'!AC212</f>
        <v>726</v>
      </c>
      <c r="AJ213" s="23"/>
    </row>
    <row r="214" spans="1:43" x14ac:dyDescent="0.2">
      <c r="AJ214" s="23"/>
    </row>
    <row r="215" spans="1:43" ht="15.75" x14ac:dyDescent="0.25">
      <c r="G215" s="196" t="s">
        <v>11</v>
      </c>
      <c r="AH215" s="171" t="s">
        <v>1067</v>
      </c>
      <c r="AI215" s="172"/>
      <c r="AJ215" s="171" t="s">
        <v>1064</v>
      </c>
    </row>
    <row r="216" spans="1:43" x14ac:dyDescent="0.2">
      <c r="AH216" s="171" t="s">
        <v>1096</v>
      </c>
      <c r="AI216" s="172"/>
      <c r="AJ216" s="171" t="s">
        <v>1065</v>
      </c>
    </row>
    <row r="217" spans="1:43" ht="16.5" x14ac:dyDescent="0.25">
      <c r="A217" s="6"/>
      <c r="B217" s="8"/>
      <c r="C217" s="8"/>
      <c r="E217" s="8"/>
      <c r="F217" s="8"/>
      <c r="G217" s="208" t="str">
        <f>$G$3</f>
        <v>2021 PARISH SHARE INFORMATION AS AT 22 FEBRUARY 2022</v>
      </c>
      <c r="H217" s="209"/>
      <c r="W217" s="194"/>
      <c r="X217"/>
      <c r="Y217"/>
      <c r="Z217"/>
      <c r="AA217"/>
      <c r="AB217"/>
      <c r="AC217"/>
      <c r="AH217" s="172"/>
      <c r="AI217" s="172"/>
      <c r="AJ217" s="171" t="s">
        <v>1066</v>
      </c>
    </row>
    <row r="218" spans="1:43" x14ac:dyDescent="0.2">
      <c r="A218" s="6"/>
      <c r="G218" s="205"/>
      <c r="H218" s="197"/>
      <c r="W218" s="194"/>
      <c r="X218"/>
      <c r="Y218"/>
      <c r="Z218"/>
      <c r="AA218"/>
      <c r="AB218"/>
      <c r="AC218"/>
      <c r="AJ218" s="23"/>
    </row>
    <row r="219" spans="1:43" ht="16.5" x14ac:dyDescent="0.25">
      <c r="A219" s="204" t="s">
        <v>1</v>
      </c>
      <c r="B219" s="151" t="str">
        <f>$B$5</f>
        <v>RM</v>
      </c>
      <c r="C219" s="151" t="str">
        <f>$C$5</f>
        <v>RF</v>
      </c>
      <c r="D219" s="151" t="str">
        <f>$D$5</f>
        <v>Accts</v>
      </c>
      <c r="E219" s="151"/>
      <c r="F219" s="151" t="str">
        <f>$F$5</f>
        <v>Share DD</v>
      </c>
      <c r="G219" s="210" t="str">
        <f>$G$5</f>
        <v xml:space="preserve">2021 Share </v>
      </c>
      <c r="H219" s="211" t="str">
        <f>$H$5</f>
        <v xml:space="preserve">2021 Paid </v>
      </c>
      <c r="I219" s="211" t="str">
        <f>$I$5</f>
        <v xml:space="preserve">% Paid </v>
      </c>
      <c r="J219" s="212">
        <f>$J$5</f>
        <v>44227</v>
      </c>
      <c r="K219" s="212">
        <f>$K$5</f>
        <v>44255</v>
      </c>
      <c r="L219" s="212">
        <f>$L$5</f>
        <v>44286</v>
      </c>
      <c r="M219" s="212">
        <f>$M$5</f>
        <v>44316</v>
      </c>
      <c r="N219" s="212">
        <f>$N$5</f>
        <v>44347</v>
      </c>
      <c r="O219" s="212">
        <f>$O$5</f>
        <v>44377</v>
      </c>
      <c r="P219" s="212">
        <f>$P$5</f>
        <v>44408</v>
      </c>
      <c r="Q219" s="212">
        <f>$Q$5</f>
        <v>44439</v>
      </c>
      <c r="R219" s="212">
        <f>$R$5</f>
        <v>44469</v>
      </c>
      <c r="S219" s="155">
        <f>$S$5</f>
        <v>44500</v>
      </c>
      <c r="T219" s="155">
        <f>$T$5</f>
        <v>44530</v>
      </c>
      <c r="U219" s="155">
        <f>$U$5</f>
        <v>44561</v>
      </c>
      <c r="V219" s="78"/>
      <c r="W219" s="195" t="str">
        <f>$W$5</f>
        <v xml:space="preserve">Outstanding </v>
      </c>
      <c r="X219" s="2"/>
      <c r="Y219" s="2"/>
      <c r="Z219" s="2"/>
      <c r="AA219" s="2">
        <f>$AA$5</f>
        <v>44592</v>
      </c>
      <c r="AB219" s="2">
        <f>$AB$5</f>
        <v>44620</v>
      </c>
      <c r="AC219" s="2">
        <f>$AC$5</f>
        <v>44651</v>
      </c>
      <c r="AE219" s="152" t="str">
        <f>$AE$5</f>
        <v>Benefice</v>
      </c>
      <c r="AH219" s="16" t="s">
        <v>1062</v>
      </c>
      <c r="AJ219" s="170" t="s">
        <v>1063</v>
      </c>
      <c r="AQ219" s="222">
        <v>44575</v>
      </c>
    </row>
    <row r="220" spans="1:43" ht="16.5" x14ac:dyDescent="0.25">
      <c r="A220" s="6"/>
      <c r="G220" s="201" t="s">
        <v>1040</v>
      </c>
      <c r="H220" s="202" t="s">
        <v>1040</v>
      </c>
      <c r="I220" s="203"/>
      <c r="J220" s="202" t="s">
        <v>1040</v>
      </c>
      <c r="K220" s="202" t="s">
        <v>1040</v>
      </c>
      <c r="L220" s="202" t="s">
        <v>1040</v>
      </c>
      <c r="M220" s="202" t="s">
        <v>1040</v>
      </c>
      <c r="N220" s="202" t="s">
        <v>1040</v>
      </c>
      <c r="O220" s="202" t="s">
        <v>1040</v>
      </c>
      <c r="P220" s="202" t="s">
        <v>1040</v>
      </c>
      <c r="Q220" s="202" t="s">
        <v>1040</v>
      </c>
      <c r="R220" s="202" t="s">
        <v>1040</v>
      </c>
      <c r="S220" s="147" t="s">
        <v>1040</v>
      </c>
      <c r="T220" s="147" t="s">
        <v>1040</v>
      </c>
      <c r="U220" s="147" t="s">
        <v>1040</v>
      </c>
      <c r="W220" s="194"/>
      <c r="X220"/>
      <c r="Y220"/>
      <c r="Z220"/>
      <c r="AA220"/>
      <c r="AB220"/>
      <c r="AC220"/>
      <c r="AJ220" s="23"/>
    </row>
    <row r="221" spans="1:43" x14ac:dyDescent="0.2">
      <c r="AJ221" s="23"/>
    </row>
    <row r="222" spans="1:43" x14ac:dyDescent="0.2">
      <c r="A222" s="144" t="s">
        <v>175</v>
      </c>
      <c r="B222" s="9" t="s">
        <v>495</v>
      </c>
      <c r="C222" s="9" t="s">
        <v>495</v>
      </c>
      <c r="D222" s="9" t="s">
        <v>495</v>
      </c>
      <c r="E222" s="9"/>
      <c r="F222" s="9">
        <v>0</v>
      </c>
      <c r="G222" s="83">
        <v>22679</v>
      </c>
      <c r="H222" s="83">
        <f t="shared" ref="H222:H253" si="44">SUM(J222:U222)+SUM(AA222:AC222)</f>
        <v>13000</v>
      </c>
      <c r="I222" s="133">
        <f t="shared" ref="I222" si="45">ROUND((H222/G222),4)</f>
        <v>0.57320000000000004</v>
      </c>
      <c r="J222" s="82">
        <v>0</v>
      </c>
      <c r="K222" s="82"/>
      <c r="L222" s="82"/>
      <c r="M222" s="82">
        <v>1000</v>
      </c>
      <c r="N222" s="82">
        <v>2000</v>
      </c>
      <c r="O222" s="82">
        <v>1500</v>
      </c>
      <c r="P222" s="82">
        <v>1500</v>
      </c>
      <c r="Q222" s="82">
        <v>1500</v>
      </c>
      <c r="R222" s="82">
        <v>1500</v>
      </c>
      <c r="S222" s="23">
        <v>1500</v>
      </c>
      <c r="T222" s="23">
        <v>1000</v>
      </c>
      <c r="U222" s="23">
        <v>1500</v>
      </c>
      <c r="V222" s="7" t="s">
        <v>655</v>
      </c>
      <c r="W222" s="82">
        <f t="shared" ref="W222:W253" si="46">G222-H222</f>
        <v>9679</v>
      </c>
      <c r="Y222" s="4"/>
      <c r="Z222" s="4"/>
      <c r="AA222" s="82">
        <v>0</v>
      </c>
      <c r="AB222" s="82"/>
      <c r="AC222" s="82"/>
      <c r="AD222" s="23"/>
      <c r="AE222" s="7" t="s">
        <v>437</v>
      </c>
      <c r="AH222" s="23">
        <f>SUM('2020 detail'!J222:U222)+'2020 detail'!AA222+'2020 detail'!AB222</f>
        <v>11900</v>
      </c>
      <c r="AJ222" s="23">
        <f t="shared" si="40"/>
        <v>1100</v>
      </c>
      <c r="AL222" t="str">
        <f t="shared" ref="AL222:AL253" si="47">IF(AJ222&lt;0,"Down",IF(AJ222&gt;0,"Up","Same"))</f>
        <v>Up</v>
      </c>
      <c r="AQ222" s="23">
        <v>1500</v>
      </c>
    </row>
    <row r="223" spans="1:43" x14ac:dyDescent="0.2">
      <c r="A223" s="144" t="s">
        <v>176</v>
      </c>
      <c r="B223" s="9" t="s">
        <v>495</v>
      </c>
      <c r="C223" s="9" t="s">
        <v>495</v>
      </c>
      <c r="D223" s="9">
        <v>0</v>
      </c>
      <c r="E223" s="9"/>
      <c r="F223" s="9">
        <v>0</v>
      </c>
      <c r="G223" s="83">
        <v>4123</v>
      </c>
      <c r="H223" s="83">
        <f t="shared" si="44"/>
        <v>1000</v>
      </c>
      <c r="I223" s="133">
        <f t="shared" ref="I223:I253" si="48">ROUND((H223/G223),4)</f>
        <v>0.24249999999999999</v>
      </c>
      <c r="J223" s="82">
        <v>0</v>
      </c>
      <c r="K223" s="82"/>
      <c r="L223" s="82"/>
      <c r="M223" s="82"/>
      <c r="N223" s="82"/>
      <c r="O223" s="82">
        <v>312</v>
      </c>
      <c r="P223" s="82"/>
      <c r="Q223" s="82"/>
      <c r="R223" s="82"/>
      <c r="S223" s="23"/>
      <c r="T223" s="23"/>
      <c r="U223" s="23">
        <v>688</v>
      </c>
      <c r="V223" s="7" t="s">
        <v>656</v>
      </c>
      <c r="W223" s="82">
        <f t="shared" si="46"/>
        <v>3123</v>
      </c>
      <c r="AA223" s="82">
        <v>0</v>
      </c>
      <c r="AB223" s="82"/>
      <c r="AC223" s="82"/>
      <c r="AD223" s="23"/>
      <c r="AE223" s="7" t="s">
        <v>437</v>
      </c>
      <c r="AH223" s="23">
        <f>SUM('2020 detail'!J223:U223)+'2020 detail'!AA223+'2020 detail'!AB223</f>
        <v>500</v>
      </c>
      <c r="AJ223" s="23">
        <f t="shared" si="40"/>
        <v>500</v>
      </c>
      <c r="AL223" t="str">
        <f t="shared" si="47"/>
        <v>Up</v>
      </c>
      <c r="AQ223" s="23">
        <v>688</v>
      </c>
    </row>
    <row r="224" spans="1:43" x14ac:dyDescent="0.2">
      <c r="A224" s="144" t="s">
        <v>177</v>
      </c>
      <c r="B224" s="9" t="s">
        <v>495</v>
      </c>
      <c r="C224" s="9" t="s">
        <v>495</v>
      </c>
      <c r="D224" s="9" t="s">
        <v>495</v>
      </c>
      <c r="E224" s="9"/>
      <c r="F224" s="9">
        <v>0</v>
      </c>
      <c r="G224" s="83">
        <v>69605</v>
      </c>
      <c r="H224" s="83">
        <f t="shared" si="44"/>
        <v>50000</v>
      </c>
      <c r="I224" s="133">
        <f t="shared" si="48"/>
        <v>0.71830000000000005</v>
      </c>
      <c r="J224" s="82">
        <v>3500</v>
      </c>
      <c r="K224" s="82">
        <v>3500</v>
      </c>
      <c r="L224" s="82">
        <v>3500</v>
      </c>
      <c r="M224" s="82">
        <v>3500</v>
      </c>
      <c r="N224" s="82">
        <v>3500</v>
      </c>
      <c r="O224" s="82">
        <v>3500</v>
      </c>
      <c r="P224" s="82">
        <v>3500</v>
      </c>
      <c r="Q224" s="82">
        <v>3500</v>
      </c>
      <c r="R224" s="82">
        <v>5000</v>
      </c>
      <c r="S224" s="23">
        <v>5000</v>
      </c>
      <c r="T224" s="23">
        <v>6000</v>
      </c>
      <c r="U224" s="23">
        <v>6000</v>
      </c>
      <c r="V224" s="7" t="s">
        <v>657</v>
      </c>
      <c r="W224" s="82">
        <f t="shared" si="46"/>
        <v>19605</v>
      </c>
      <c r="AA224" s="82">
        <v>0</v>
      </c>
      <c r="AB224" s="82"/>
      <c r="AC224" s="82"/>
      <c r="AD224" s="23"/>
      <c r="AE224" s="7" t="s">
        <v>428</v>
      </c>
      <c r="AH224" s="23">
        <f>SUM('2020 detail'!J224:U224)+'2020 detail'!AA224+'2020 detail'!AB224</f>
        <v>47000</v>
      </c>
      <c r="AJ224" s="23">
        <f t="shared" si="40"/>
        <v>3000</v>
      </c>
      <c r="AL224" t="str">
        <f t="shared" si="47"/>
        <v>Up</v>
      </c>
      <c r="AQ224" s="23">
        <v>6000</v>
      </c>
    </row>
    <row r="225" spans="1:45" x14ac:dyDescent="0.2">
      <c r="A225" s="144" t="s">
        <v>178</v>
      </c>
      <c r="B225" s="9" t="s">
        <v>495</v>
      </c>
      <c r="C225" s="9" t="s">
        <v>495</v>
      </c>
      <c r="D225" s="9">
        <v>0</v>
      </c>
      <c r="E225" s="9"/>
      <c r="F225" s="9" t="s">
        <v>495</v>
      </c>
      <c r="G225" s="83">
        <v>23396</v>
      </c>
      <c r="H225" s="83">
        <f t="shared" si="44"/>
        <v>23396.240000000002</v>
      </c>
      <c r="I225" s="133">
        <f t="shared" si="48"/>
        <v>1</v>
      </c>
      <c r="J225" s="82">
        <v>1949.74</v>
      </c>
      <c r="K225" s="82">
        <v>1949.66</v>
      </c>
      <c r="L225" s="82">
        <v>1949.66</v>
      </c>
      <c r="M225" s="82">
        <v>1949.66</v>
      </c>
      <c r="N225" s="82">
        <v>1949.66</v>
      </c>
      <c r="O225" s="82">
        <v>1949.66</v>
      </c>
      <c r="P225" s="82">
        <v>1949.66</v>
      </c>
      <c r="Q225" s="82">
        <v>1949.66</v>
      </c>
      <c r="R225" s="82">
        <v>1949.66</v>
      </c>
      <c r="S225" s="23">
        <v>0</v>
      </c>
      <c r="T225" s="23">
        <v>0</v>
      </c>
      <c r="U225" s="23">
        <v>5849.22</v>
      </c>
      <c r="V225" s="7" t="s">
        <v>658</v>
      </c>
      <c r="W225" s="82">
        <f t="shared" si="46"/>
        <v>-0.24000000000160071</v>
      </c>
      <c r="AA225" s="82">
        <v>0</v>
      </c>
      <c r="AB225" s="82"/>
      <c r="AC225" s="82"/>
      <c r="AD225" s="23"/>
      <c r="AE225" s="7" t="s">
        <v>429</v>
      </c>
      <c r="AH225" s="23">
        <f>SUM('2020 detail'!J225:U225)+'2020 detail'!AA225+'2020 detail'!AB225</f>
        <v>23396</v>
      </c>
      <c r="AJ225" s="23">
        <f t="shared" si="40"/>
        <v>0.24000000000160071</v>
      </c>
      <c r="AL225" t="str">
        <f t="shared" si="47"/>
        <v>Up</v>
      </c>
      <c r="AQ225" s="23">
        <v>5849.22</v>
      </c>
    </row>
    <row r="226" spans="1:45" x14ac:dyDescent="0.2">
      <c r="A226" s="144" t="s">
        <v>179</v>
      </c>
      <c r="B226" s="9" t="s">
        <v>495</v>
      </c>
      <c r="C226" s="9" t="s">
        <v>495</v>
      </c>
      <c r="D226" s="9" t="s">
        <v>495</v>
      </c>
      <c r="E226" s="9"/>
      <c r="F226" s="9">
        <v>0</v>
      </c>
      <c r="G226" s="83">
        <v>23396</v>
      </c>
      <c r="H226" s="83">
        <f t="shared" si="44"/>
        <v>16400</v>
      </c>
      <c r="I226" s="133">
        <f t="shared" si="48"/>
        <v>0.70099999999999996</v>
      </c>
      <c r="J226" s="82">
        <v>0</v>
      </c>
      <c r="K226" s="82">
        <v>1200</v>
      </c>
      <c r="L226" s="82">
        <v>700</v>
      </c>
      <c r="M226" s="82">
        <v>3500</v>
      </c>
      <c r="N226" s="82">
        <v>1500</v>
      </c>
      <c r="O226" s="82">
        <v>1300</v>
      </c>
      <c r="P226" s="82">
        <v>1500</v>
      </c>
      <c r="Q226" s="82">
        <v>1800</v>
      </c>
      <c r="R226" s="82">
        <v>1500</v>
      </c>
      <c r="S226" s="23">
        <v>1100</v>
      </c>
      <c r="T226" s="23">
        <v>1500</v>
      </c>
      <c r="U226" s="23">
        <v>800</v>
      </c>
      <c r="V226" s="7" t="s">
        <v>659</v>
      </c>
      <c r="W226" s="82">
        <f t="shared" si="46"/>
        <v>6996</v>
      </c>
      <c r="AA226" s="82">
        <v>0</v>
      </c>
      <c r="AB226" s="82"/>
      <c r="AC226" s="82"/>
      <c r="AD226" s="23"/>
      <c r="AE226" s="7" t="s">
        <v>429</v>
      </c>
      <c r="AH226" s="23">
        <f>SUM('2020 detail'!J226:U226)+'2020 detail'!AA226+'2020 detail'!AB226</f>
        <v>16250</v>
      </c>
      <c r="AJ226" s="23">
        <f t="shared" si="40"/>
        <v>150</v>
      </c>
      <c r="AL226" t="str">
        <f t="shared" si="47"/>
        <v>Up</v>
      </c>
      <c r="AQ226" s="23">
        <v>800</v>
      </c>
    </row>
    <row r="227" spans="1:45" x14ac:dyDescent="0.2">
      <c r="A227" s="144" t="s">
        <v>180</v>
      </c>
      <c r="B227" s="9" t="s">
        <v>495</v>
      </c>
      <c r="C227" s="9" t="s">
        <v>495</v>
      </c>
      <c r="D227" s="9">
        <v>0</v>
      </c>
      <c r="E227" s="9"/>
      <c r="F227" s="9">
        <v>0</v>
      </c>
      <c r="G227" s="83">
        <v>23396</v>
      </c>
      <c r="H227" s="83">
        <f t="shared" si="44"/>
        <v>23396</v>
      </c>
      <c r="I227" s="133">
        <f t="shared" si="48"/>
        <v>1</v>
      </c>
      <c r="J227" s="82">
        <v>0</v>
      </c>
      <c r="K227" s="82"/>
      <c r="L227" s="82">
        <v>1500</v>
      </c>
      <c r="M227" s="82"/>
      <c r="N227" s="82">
        <v>3500</v>
      </c>
      <c r="O227" s="82"/>
      <c r="P227" s="82">
        <v>1500</v>
      </c>
      <c r="Q227" s="82">
        <v>1500</v>
      </c>
      <c r="R227" s="82">
        <v>4500</v>
      </c>
      <c r="S227" s="23"/>
      <c r="T227" s="23">
        <v>7396</v>
      </c>
      <c r="U227" s="23">
        <v>3500</v>
      </c>
      <c r="V227" s="7" t="s">
        <v>660</v>
      </c>
      <c r="W227" s="82">
        <f t="shared" si="46"/>
        <v>0</v>
      </c>
      <c r="AA227" s="82">
        <v>0</v>
      </c>
      <c r="AB227" s="82"/>
      <c r="AC227" s="82"/>
      <c r="AD227" s="23"/>
      <c r="AE227" s="7" t="s">
        <v>429</v>
      </c>
      <c r="AH227" s="23">
        <f>SUM('2020 detail'!J227:U227)+'2020 detail'!AA227+'2020 detail'!AB227</f>
        <v>23396</v>
      </c>
      <c r="AJ227" s="23">
        <f t="shared" si="40"/>
        <v>0</v>
      </c>
      <c r="AL227" t="str">
        <f t="shared" si="47"/>
        <v>Same</v>
      </c>
      <c r="AQ227" s="23">
        <v>3500</v>
      </c>
      <c r="AS227">
        <v>2396</v>
      </c>
    </row>
    <row r="228" spans="1:45" x14ac:dyDescent="0.2">
      <c r="A228" s="144" t="s">
        <v>181</v>
      </c>
      <c r="B228" s="9" t="s">
        <v>495</v>
      </c>
      <c r="C228" s="9" t="s">
        <v>495</v>
      </c>
      <c r="D228" s="9" t="s">
        <v>495</v>
      </c>
      <c r="E228" s="9"/>
      <c r="F228" s="9" t="s">
        <v>495</v>
      </c>
      <c r="G228" s="83">
        <v>6013</v>
      </c>
      <c r="H228" s="83">
        <f t="shared" si="44"/>
        <v>1200</v>
      </c>
      <c r="I228" s="133">
        <f t="shared" si="48"/>
        <v>0.1996</v>
      </c>
      <c r="J228" s="82">
        <v>100</v>
      </c>
      <c r="K228" s="82">
        <v>100</v>
      </c>
      <c r="L228" s="82">
        <v>100</v>
      </c>
      <c r="M228" s="82">
        <v>100</v>
      </c>
      <c r="N228" s="82">
        <v>100</v>
      </c>
      <c r="O228" s="82">
        <v>100</v>
      </c>
      <c r="P228" s="82">
        <v>100</v>
      </c>
      <c r="Q228" s="82">
        <v>100</v>
      </c>
      <c r="R228" s="82">
        <v>100</v>
      </c>
      <c r="S228" s="23">
        <v>100</v>
      </c>
      <c r="T228" s="23">
        <v>100</v>
      </c>
      <c r="U228" s="23">
        <v>100</v>
      </c>
      <c r="V228" s="7" t="s">
        <v>661</v>
      </c>
      <c r="W228" s="82">
        <f t="shared" si="46"/>
        <v>4813</v>
      </c>
      <c r="AA228" s="82">
        <v>0</v>
      </c>
      <c r="AB228" s="82"/>
      <c r="AC228" s="82"/>
      <c r="AD228" s="23"/>
      <c r="AE228" s="7" t="s">
        <v>430</v>
      </c>
      <c r="AH228" s="23">
        <f>SUM('2020 detail'!J228:U228)+'2020 detail'!AA228+'2020 detail'!AB228</f>
        <v>1200</v>
      </c>
      <c r="AJ228" s="23">
        <f t="shared" si="40"/>
        <v>0</v>
      </c>
      <c r="AL228" t="str">
        <f t="shared" si="47"/>
        <v>Same</v>
      </c>
      <c r="AQ228" s="23">
        <v>100</v>
      </c>
    </row>
    <row r="229" spans="1:45" x14ac:dyDescent="0.2">
      <c r="A229" s="144" t="s">
        <v>182</v>
      </c>
      <c r="B229" s="9" t="s">
        <v>495</v>
      </c>
      <c r="C229" s="9" t="s">
        <v>495</v>
      </c>
      <c r="D229" s="9" t="s">
        <v>495</v>
      </c>
      <c r="E229" s="9"/>
      <c r="F229" s="9" t="s">
        <v>495</v>
      </c>
      <c r="G229" s="83">
        <v>15032</v>
      </c>
      <c r="H229" s="83">
        <f t="shared" si="44"/>
        <v>9000</v>
      </c>
      <c r="I229" s="133">
        <f t="shared" si="48"/>
        <v>0.59870000000000001</v>
      </c>
      <c r="J229" s="82">
        <v>250</v>
      </c>
      <c r="K229" s="82">
        <v>250</v>
      </c>
      <c r="L229" s="82">
        <v>250</v>
      </c>
      <c r="M229" s="82">
        <v>250</v>
      </c>
      <c r="N229" s="82">
        <v>250</v>
      </c>
      <c r="O229" s="82">
        <v>250</v>
      </c>
      <c r="P229" s="82">
        <v>250</v>
      </c>
      <c r="Q229" s="82">
        <v>250</v>
      </c>
      <c r="R229" s="82">
        <v>250</v>
      </c>
      <c r="S229" s="23">
        <v>250</v>
      </c>
      <c r="T229" s="23">
        <v>6250</v>
      </c>
      <c r="U229" s="23">
        <v>250</v>
      </c>
      <c r="V229" s="7" t="s">
        <v>662</v>
      </c>
      <c r="W229" s="82">
        <f t="shared" si="46"/>
        <v>6032</v>
      </c>
      <c r="AA229" s="82">
        <v>0</v>
      </c>
      <c r="AB229" s="82"/>
      <c r="AC229" s="82"/>
      <c r="AD229" s="23"/>
      <c r="AE229" s="7" t="s">
        <v>430</v>
      </c>
      <c r="AH229" s="23">
        <f>SUM('2020 detail'!J229:U229)+'2020 detail'!AA229+'2020 detail'!AB229</f>
        <v>7000</v>
      </c>
      <c r="AJ229" s="23">
        <f t="shared" si="40"/>
        <v>2000</v>
      </c>
      <c r="AL229" t="str">
        <f t="shared" si="47"/>
        <v>Up</v>
      </c>
      <c r="AQ229" s="23">
        <v>250</v>
      </c>
      <c r="AS229">
        <v>6000</v>
      </c>
    </row>
    <row r="230" spans="1:45" x14ac:dyDescent="0.2">
      <c r="A230" s="144" t="s">
        <v>183</v>
      </c>
      <c r="B230" s="9" t="s">
        <v>495</v>
      </c>
      <c r="C230" s="9" t="s">
        <v>495</v>
      </c>
      <c r="D230" s="9" t="s">
        <v>495</v>
      </c>
      <c r="E230" s="9"/>
      <c r="F230" s="9">
        <v>0</v>
      </c>
      <c r="G230" s="83">
        <v>20294</v>
      </c>
      <c r="H230" s="83">
        <f t="shared" si="44"/>
        <v>16312</v>
      </c>
      <c r="I230" s="133">
        <f t="shared" si="48"/>
        <v>0.80379999999999996</v>
      </c>
      <c r="J230" s="82">
        <v>750</v>
      </c>
      <c r="K230" s="82">
        <v>750</v>
      </c>
      <c r="L230" s="82">
        <v>750</v>
      </c>
      <c r="M230" s="82">
        <v>750</v>
      </c>
      <c r="N230" s="82">
        <v>1062</v>
      </c>
      <c r="O230" s="82">
        <v>750</v>
      </c>
      <c r="P230" s="82">
        <v>750</v>
      </c>
      <c r="Q230" s="82">
        <v>750</v>
      </c>
      <c r="R230" s="82">
        <v>750</v>
      </c>
      <c r="S230" s="23">
        <v>2750</v>
      </c>
      <c r="T230" s="23">
        <v>750</v>
      </c>
      <c r="U230" s="23">
        <v>5750</v>
      </c>
      <c r="V230" s="7" t="s">
        <v>663</v>
      </c>
      <c r="W230" s="82">
        <f t="shared" si="46"/>
        <v>3982</v>
      </c>
      <c r="AA230" s="82">
        <v>0</v>
      </c>
      <c r="AB230" s="82"/>
      <c r="AC230" s="82"/>
      <c r="AD230" s="23"/>
      <c r="AE230" s="7" t="s">
        <v>430</v>
      </c>
      <c r="AH230" s="23">
        <f>SUM('2020 detail'!J230:U230)+'2020 detail'!AA230+'2020 detail'!AB230</f>
        <v>15750</v>
      </c>
      <c r="AJ230" s="23">
        <f t="shared" si="40"/>
        <v>562</v>
      </c>
      <c r="AL230" t="str">
        <f t="shared" si="47"/>
        <v>Up</v>
      </c>
      <c r="AQ230" s="23">
        <v>5750</v>
      </c>
    </row>
    <row r="231" spans="1:45" x14ac:dyDescent="0.2">
      <c r="A231" s="144" t="s">
        <v>184</v>
      </c>
      <c r="B231" s="9" t="s">
        <v>495</v>
      </c>
      <c r="C231" s="9" t="s">
        <v>495</v>
      </c>
      <c r="D231" s="9" t="s">
        <v>495</v>
      </c>
      <c r="E231" s="9"/>
      <c r="F231" s="9" t="s">
        <v>495</v>
      </c>
      <c r="G231" s="83">
        <v>6225</v>
      </c>
      <c r="H231" s="83">
        <f t="shared" si="44"/>
        <v>6225</v>
      </c>
      <c r="I231" s="133">
        <f t="shared" si="48"/>
        <v>1</v>
      </c>
      <c r="J231" s="82">
        <v>518.75</v>
      </c>
      <c r="K231" s="82">
        <v>518.75</v>
      </c>
      <c r="L231" s="82">
        <v>518.75</v>
      </c>
      <c r="M231" s="82">
        <v>518.75</v>
      </c>
      <c r="N231" s="82">
        <v>518.75</v>
      </c>
      <c r="O231" s="82">
        <v>518.75</v>
      </c>
      <c r="P231" s="82">
        <v>518.75</v>
      </c>
      <c r="Q231" s="82">
        <v>518.75</v>
      </c>
      <c r="R231" s="82">
        <v>518.75</v>
      </c>
      <c r="S231" s="23">
        <v>518.75</v>
      </c>
      <c r="T231" s="23">
        <v>518.75</v>
      </c>
      <c r="U231" s="23">
        <v>518.75</v>
      </c>
      <c r="V231" s="7" t="s">
        <v>664</v>
      </c>
      <c r="W231" s="82">
        <f t="shared" si="46"/>
        <v>0</v>
      </c>
      <c r="AA231" s="82">
        <v>0</v>
      </c>
      <c r="AB231" s="82"/>
      <c r="AC231" s="82"/>
      <c r="AD231" s="23"/>
      <c r="AE231" s="7" t="s">
        <v>431</v>
      </c>
      <c r="AH231" s="23">
        <f>SUM('2020 detail'!J231:U231)+'2020 detail'!AA231+'2020 detail'!AB231</f>
        <v>6225</v>
      </c>
      <c r="AJ231" s="23">
        <f t="shared" si="40"/>
        <v>0</v>
      </c>
      <c r="AL231" t="str">
        <f t="shared" si="47"/>
        <v>Same</v>
      </c>
      <c r="AQ231" s="23">
        <v>518.75</v>
      </c>
    </row>
    <row r="232" spans="1:45" x14ac:dyDescent="0.2">
      <c r="A232" s="144" t="s">
        <v>185</v>
      </c>
      <c r="B232" s="9" t="s">
        <v>495</v>
      </c>
      <c r="C232" s="9" t="s">
        <v>495</v>
      </c>
      <c r="D232" s="9">
        <v>0</v>
      </c>
      <c r="E232" s="9"/>
      <c r="F232" s="9" t="s">
        <v>495</v>
      </c>
      <c r="G232" s="83">
        <v>8705</v>
      </c>
      <c r="H232" s="83">
        <f t="shared" si="44"/>
        <v>8705</v>
      </c>
      <c r="I232" s="133">
        <f t="shared" si="48"/>
        <v>1</v>
      </c>
      <c r="J232" s="82">
        <v>725.41</v>
      </c>
      <c r="K232" s="82">
        <v>725.49</v>
      </c>
      <c r="L232" s="82">
        <v>725.41</v>
      </c>
      <c r="M232" s="82">
        <v>725.41</v>
      </c>
      <c r="N232" s="82">
        <v>725.41</v>
      </c>
      <c r="O232" s="82">
        <v>725.41</v>
      </c>
      <c r="P232" s="82">
        <v>725.41</v>
      </c>
      <c r="Q232" s="82">
        <v>725.41</v>
      </c>
      <c r="R232" s="82">
        <v>725.41</v>
      </c>
      <c r="S232" s="23">
        <v>725.41</v>
      </c>
      <c r="T232" s="23">
        <v>725.41</v>
      </c>
      <c r="U232" s="23">
        <v>725.41</v>
      </c>
      <c r="V232" s="7" t="s">
        <v>665</v>
      </c>
      <c r="W232" s="82">
        <f t="shared" si="46"/>
        <v>0</v>
      </c>
      <c r="AA232" s="82">
        <v>0</v>
      </c>
      <c r="AB232" s="82"/>
      <c r="AC232" s="82"/>
      <c r="AD232" s="23"/>
      <c r="AE232" s="7" t="s">
        <v>431</v>
      </c>
      <c r="AH232" s="23">
        <f>SUM('2020 detail'!J232:U232)+'2020 detail'!AA232+'2020 detail'!AB232</f>
        <v>8705</v>
      </c>
      <c r="AJ232" s="23">
        <f t="shared" si="40"/>
        <v>0</v>
      </c>
      <c r="AL232" t="str">
        <f t="shared" si="47"/>
        <v>Same</v>
      </c>
      <c r="AQ232" s="23">
        <v>725.41</v>
      </c>
    </row>
    <row r="233" spans="1:45" x14ac:dyDescent="0.2">
      <c r="A233" s="144" t="s">
        <v>186</v>
      </c>
      <c r="B233" s="9" t="s">
        <v>495</v>
      </c>
      <c r="C233" s="9" t="s">
        <v>495</v>
      </c>
      <c r="D233" s="9" t="s">
        <v>495</v>
      </c>
      <c r="E233" s="9"/>
      <c r="F233" s="9">
        <v>0</v>
      </c>
      <c r="G233" s="83">
        <v>23282</v>
      </c>
      <c r="H233" s="83">
        <f t="shared" si="44"/>
        <v>9000</v>
      </c>
      <c r="I233" s="133">
        <f t="shared" si="48"/>
        <v>0.3866</v>
      </c>
      <c r="J233" s="82">
        <v>0</v>
      </c>
      <c r="K233" s="82">
        <v>1500</v>
      </c>
      <c r="L233" s="82">
        <v>750</v>
      </c>
      <c r="M233" s="82">
        <v>750</v>
      </c>
      <c r="N233" s="82"/>
      <c r="O233" s="82">
        <v>1500</v>
      </c>
      <c r="P233" s="82"/>
      <c r="Q233" s="82">
        <v>1500</v>
      </c>
      <c r="R233" s="82"/>
      <c r="S233" s="23">
        <v>1500</v>
      </c>
      <c r="T233" s="23"/>
      <c r="U233" s="23">
        <v>1500</v>
      </c>
      <c r="V233" s="7" t="s">
        <v>666</v>
      </c>
      <c r="W233" s="82">
        <f t="shared" si="46"/>
        <v>14282</v>
      </c>
      <c r="AA233" s="82">
        <v>0</v>
      </c>
      <c r="AB233" s="82"/>
      <c r="AC233" s="82"/>
      <c r="AD233" s="23"/>
      <c r="AE233" s="7" t="s">
        <v>433</v>
      </c>
      <c r="AH233" s="23">
        <f>SUM('2020 detail'!J233:U233)+'2020 detail'!AA233+'2020 detail'!AB233</f>
        <v>2500</v>
      </c>
      <c r="AJ233" s="23">
        <f t="shared" si="40"/>
        <v>6500</v>
      </c>
      <c r="AL233" t="str">
        <f t="shared" si="47"/>
        <v>Up</v>
      </c>
    </row>
    <row r="234" spans="1:45" x14ac:dyDescent="0.2">
      <c r="A234" s="144" t="s">
        <v>187</v>
      </c>
      <c r="B234" s="9" t="s">
        <v>495</v>
      </c>
      <c r="C234" s="9" t="s">
        <v>495</v>
      </c>
      <c r="D234" s="9" t="s">
        <v>495</v>
      </c>
      <c r="E234" s="9"/>
      <c r="F234" s="9">
        <v>0</v>
      </c>
      <c r="G234" s="83">
        <v>46435</v>
      </c>
      <c r="H234" s="83">
        <f t="shared" si="44"/>
        <v>38000</v>
      </c>
      <c r="I234" s="133">
        <f t="shared" si="48"/>
        <v>0.81830000000000003</v>
      </c>
      <c r="J234" s="82">
        <v>2000</v>
      </c>
      <c r="K234" s="82">
        <v>3000</v>
      </c>
      <c r="L234" s="82">
        <v>3000</v>
      </c>
      <c r="M234" s="82">
        <v>3000</v>
      </c>
      <c r="N234" s="82">
        <v>3000</v>
      </c>
      <c r="O234" s="82">
        <v>3000</v>
      </c>
      <c r="P234" s="82">
        <v>3000</v>
      </c>
      <c r="Q234" s="82">
        <v>3000</v>
      </c>
      <c r="R234" s="82">
        <v>3000</v>
      </c>
      <c r="S234" s="23">
        <v>3000</v>
      </c>
      <c r="T234" s="23">
        <v>4000</v>
      </c>
      <c r="U234" s="23">
        <f>6500-1500</f>
        <v>5000</v>
      </c>
      <c r="V234" s="7" t="s">
        <v>667</v>
      </c>
      <c r="W234" s="82">
        <f t="shared" si="46"/>
        <v>8435</v>
      </c>
      <c r="AA234" s="82">
        <v>0</v>
      </c>
      <c r="AB234" s="82"/>
      <c r="AC234" s="82"/>
      <c r="AD234" s="23"/>
      <c r="AE234" s="7" t="s">
        <v>433</v>
      </c>
      <c r="AH234" s="23">
        <f>SUM('2020 detail'!J234:U234)+'2020 detail'!AA234+'2020 detail'!AB234</f>
        <v>30000</v>
      </c>
      <c r="AJ234" s="23">
        <f t="shared" si="40"/>
        <v>8000</v>
      </c>
      <c r="AL234" t="str">
        <f t="shared" si="47"/>
        <v>Up</v>
      </c>
      <c r="AQ234" s="23">
        <v>6500</v>
      </c>
    </row>
    <row r="235" spans="1:45" x14ac:dyDescent="0.2">
      <c r="A235" s="144" t="s">
        <v>188</v>
      </c>
      <c r="B235" s="9" t="s">
        <v>495</v>
      </c>
      <c r="C235" s="9" t="s">
        <v>495</v>
      </c>
      <c r="D235" s="9" t="s">
        <v>495</v>
      </c>
      <c r="E235" s="9"/>
      <c r="F235" s="9" t="s">
        <v>495</v>
      </c>
      <c r="G235" s="83">
        <v>13246</v>
      </c>
      <c r="H235" s="83">
        <f t="shared" si="44"/>
        <v>6000</v>
      </c>
      <c r="I235" s="133">
        <f t="shared" si="48"/>
        <v>0.45300000000000001</v>
      </c>
      <c r="J235" s="82">
        <v>500</v>
      </c>
      <c r="K235" s="82">
        <v>500</v>
      </c>
      <c r="L235" s="82">
        <v>500</v>
      </c>
      <c r="M235" s="82">
        <v>500</v>
      </c>
      <c r="N235" s="82">
        <v>500</v>
      </c>
      <c r="O235" s="82">
        <v>500</v>
      </c>
      <c r="P235" s="82">
        <v>500</v>
      </c>
      <c r="Q235" s="82">
        <v>500</v>
      </c>
      <c r="R235" s="82">
        <v>500</v>
      </c>
      <c r="S235" s="23">
        <v>500</v>
      </c>
      <c r="T235" s="23">
        <v>500</v>
      </c>
      <c r="U235" s="23">
        <v>500</v>
      </c>
      <c r="V235" s="7" t="s">
        <v>668</v>
      </c>
      <c r="W235" s="82">
        <f t="shared" si="46"/>
        <v>7246</v>
      </c>
      <c r="AA235" s="82">
        <v>0</v>
      </c>
      <c r="AB235" s="82"/>
      <c r="AC235" s="82"/>
      <c r="AD235" s="23"/>
      <c r="AE235" s="7" t="s">
        <v>434</v>
      </c>
      <c r="AH235" s="23">
        <f>SUM('2020 detail'!J235:U235)+'2020 detail'!AA235+'2020 detail'!AB235</f>
        <v>7000</v>
      </c>
      <c r="AJ235" s="23">
        <f t="shared" si="40"/>
        <v>-1000</v>
      </c>
      <c r="AL235" t="str">
        <f t="shared" si="47"/>
        <v>Down</v>
      </c>
      <c r="AQ235" s="23">
        <v>500</v>
      </c>
    </row>
    <row r="236" spans="1:45" x14ac:dyDescent="0.2">
      <c r="A236" s="144" t="s">
        <v>189</v>
      </c>
      <c r="B236" s="9" t="s">
        <v>495</v>
      </c>
      <c r="C236" s="9" t="s">
        <v>495</v>
      </c>
      <c r="D236" s="9" t="s">
        <v>495</v>
      </c>
      <c r="E236" s="9"/>
      <c r="F236" s="9">
        <v>0</v>
      </c>
      <c r="G236" s="83">
        <v>30908</v>
      </c>
      <c r="H236" s="83">
        <f t="shared" si="44"/>
        <v>15000</v>
      </c>
      <c r="I236" s="133">
        <f t="shared" si="48"/>
        <v>0.48530000000000001</v>
      </c>
      <c r="J236" s="82">
        <v>2335</v>
      </c>
      <c r="K236" s="82">
        <v>1000</v>
      </c>
      <c r="L236" s="82"/>
      <c r="M236" s="82">
        <v>1000</v>
      </c>
      <c r="N236" s="82">
        <v>1000</v>
      </c>
      <c r="O236" s="82">
        <v>308</v>
      </c>
      <c r="P236" s="82">
        <v>2000</v>
      </c>
      <c r="Q236" s="82">
        <v>2000</v>
      </c>
      <c r="R236" s="82">
        <v>357</v>
      </c>
      <c r="S236" s="23"/>
      <c r="T236" s="23">
        <v>2000</v>
      </c>
      <c r="U236" s="23">
        <v>3000</v>
      </c>
      <c r="V236" s="7" t="s">
        <v>669</v>
      </c>
      <c r="W236" s="82">
        <f t="shared" si="46"/>
        <v>15908</v>
      </c>
      <c r="AA236" s="82">
        <v>0</v>
      </c>
      <c r="AB236" s="82"/>
      <c r="AC236" s="82"/>
      <c r="AD236" s="23"/>
      <c r="AE236" s="7" t="s">
        <v>434</v>
      </c>
      <c r="AH236" s="23">
        <f>SUM('2020 detail'!J236:U236)+'2020 detail'!AA236+'2020 detail'!AB236</f>
        <v>15398</v>
      </c>
      <c r="AJ236" s="23">
        <f t="shared" si="40"/>
        <v>-398</v>
      </c>
      <c r="AL236" t="str">
        <f t="shared" si="47"/>
        <v>Down</v>
      </c>
      <c r="AQ236" s="23">
        <v>3000</v>
      </c>
    </row>
    <row r="237" spans="1:45" x14ac:dyDescent="0.2">
      <c r="A237" s="144" t="s">
        <v>190</v>
      </c>
      <c r="B237" s="9" t="s">
        <v>495</v>
      </c>
      <c r="C237" s="9" t="s">
        <v>495</v>
      </c>
      <c r="D237" s="9">
        <v>0</v>
      </c>
      <c r="E237" s="9"/>
      <c r="F237" s="9" t="s">
        <v>495</v>
      </c>
      <c r="G237" s="83">
        <v>43756</v>
      </c>
      <c r="H237" s="83">
        <f t="shared" si="44"/>
        <v>26000</v>
      </c>
      <c r="I237" s="133">
        <f t="shared" si="48"/>
        <v>0.59419999999999995</v>
      </c>
      <c r="J237" s="82">
        <v>0</v>
      </c>
      <c r="K237" s="82">
        <v>2000</v>
      </c>
      <c r="L237" s="82">
        <v>2000</v>
      </c>
      <c r="M237" s="82">
        <v>2000</v>
      </c>
      <c r="N237" s="82">
        <v>2000</v>
      </c>
      <c r="O237" s="82">
        <v>2000</v>
      </c>
      <c r="P237" s="82">
        <v>4417</v>
      </c>
      <c r="Q237" s="82">
        <v>2000</v>
      </c>
      <c r="R237" s="82">
        <v>583</v>
      </c>
      <c r="S237" s="23"/>
      <c r="T237" s="23">
        <v>2000</v>
      </c>
      <c r="U237" s="23">
        <v>7000</v>
      </c>
      <c r="V237" s="7" t="s">
        <v>670</v>
      </c>
      <c r="W237" s="82">
        <f t="shared" si="46"/>
        <v>17756</v>
      </c>
      <c r="AA237" s="82">
        <v>0</v>
      </c>
      <c r="AB237" s="82"/>
      <c r="AC237" s="82"/>
      <c r="AD237" s="23"/>
      <c r="AE237" s="7" t="s">
        <v>435</v>
      </c>
      <c r="AH237" s="23">
        <f>SUM('2020 detail'!J237:U237)+'2020 detail'!AA237+'2020 detail'!AB237</f>
        <v>20920</v>
      </c>
      <c r="AJ237" s="23">
        <f t="shared" si="40"/>
        <v>5080</v>
      </c>
      <c r="AL237" t="str">
        <f t="shared" si="47"/>
        <v>Up</v>
      </c>
      <c r="AQ237" s="23">
        <v>7000</v>
      </c>
    </row>
    <row r="238" spans="1:45" x14ac:dyDescent="0.2">
      <c r="A238" s="144" t="s">
        <v>191</v>
      </c>
      <c r="B238" s="9" t="s">
        <v>495</v>
      </c>
      <c r="C238" s="9" t="s">
        <v>495</v>
      </c>
      <c r="D238" s="9">
        <v>0</v>
      </c>
      <c r="E238" s="9"/>
      <c r="F238" s="9">
        <v>0</v>
      </c>
      <c r="G238" s="83">
        <v>62275</v>
      </c>
      <c r="H238" s="83">
        <f t="shared" si="44"/>
        <v>46000</v>
      </c>
      <c r="I238" s="133">
        <f t="shared" si="48"/>
        <v>0.73870000000000002</v>
      </c>
      <c r="J238" s="82">
        <v>0</v>
      </c>
      <c r="K238" s="82"/>
      <c r="L238" s="82"/>
      <c r="M238" s="82"/>
      <c r="N238" s="82">
        <v>7000</v>
      </c>
      <c r="O238" s="82"/>
      <c r="P238" s="82">
        <v>10000</v>
      </c>
      <c r="Q238" s="82"/>
      <c r="R238" s="82">
        <v>6000</v>
      </c>
      <c r="S238" s="23"/>
      <c r="T238" s="23">
        <v>15000</v>
      </c>
      <c r="U238" s="23">
        <v>8000</v>
      </c>
      <c r="V238" s="7" t="s">
        <v>671</v>
      </c>
      <c r="W238" s="82">
        <f t="shared" si="46"/>
        <v>16275</v>
      </c>
      <c r="AA238" s="82">
        <v>0</v>
      </c>
      <c r="AB238" s="82"/>
      <c r="AC238" s="82"/>
      <c r="AD238" s="23"/>
      <c r="AE238" s="7" t="s">
        <v>436</v>
      </c>
      <c r="AH238" s="23">
        <f>SUM('2020 detail'!J238:U238)+'2020 detail'!AA238+'2020 detail'!AB238</f>
        <v>46000</v>
      </c>
      <c r="AJ238" s="23">
        <f t="shared" si="40"/>
        <v>0</v>
      </c>
      <c r="AL238" t="str">
        <f t="shared" si="47"/>
        <v>Same</v>
      </c>
      <c r="AQ238" s="23">
        <v>8000</v>
      </c>
    </row>
    <row r="239" spans="1:45" x14ac:dyDescent="0.2">
      <c r="A239" s="144" t="s">
        <v>192</v>
      </c>
      <c r="B239" s="9" t="s">
        <v>495</v>
      </c>
      <c r="C239" s="9" t="s">
        <v>495</v>
      </c>
      <c r="D239" s="9" t="s">
        <v>495</v>
      </c>
      <c r="E239" s="9"/>
      <c r="F239" s="9">
        <v>0</v>
      </c>
      <c r="G239" s="83">
        <v>52917</v>
      </c>
      <c r="H239" s="83">
        <f t="shared" si="44"/>
        <v>52917</v>
      </c>
      <c r="I239" s="133">
        <f t="shared" si="48"/>
        <v>1</v>
      </c>
      <c r="J239" s="82">
        <v>1000</v>
      </c>
      <c r="K239" s="82">
        <v>1000</v>
      </c>
      <c r="L239" s="82">
        <v>4000</v>
      </c>
      <c r="M239" s="82">
        <v>9000</v>
      </c>
      <c r="N239" s="82"/>
      <c r="O239" s="82">
        <v>8000</v>
      </c>
      <c r="P239" s="82">
        <v>4000</v>
      </c>
      <c r="Q239" s="82">
        <v>6500</v>
      </c>
      <c r="R239" s="82">
        <v>4000</v>
      </c>
      <c r="S239" s="23">
        <v>4000</v>
      </c>
      <c r="T239" s="23">
        <v>4000</v>
      </c>
      <c r="U239" s="23">
        <v>5296</v>
      </c>
      <c r="V239" s="7" t="s">
        <v>672</v>
      </c>
      <c r="W239" s="82">
        <f t="shared" si="46"/>
        <v>0</v>
      </c>
      <c r="AA239" s="82">
        <v>0</v>
      </c>
      <c r="AB239" s="82">
        <v>2121</v>
      </c>
      <c r="AC239" s="82"/>
      <c r="AD239" s="23"/>
      <c r="AE239" s="7" t="s">
        <v>437</v>
      </c>
      <c r="AH239" s="23">
        <f>SUM('2020 detail'!J239:U239)+'2020 detail'!AA239+'2020 detail'!AB239</f>
        <v>52917</v>
      </c>
      <c r="AJ239" s="23">
        <f t="shared" si="40"/>
        <v>0</v>
      </c>
      <c r="AL239" t="str">
        <f t="shared" si="47"/>
        <v>Same</v>
      </c>
      <c r="AQ239" s="23">
        <v>5296</v>
      </c>
    </row>
    <row r="240" spans="1:45" x14ac:dyDescent="0.2">
      <c r="A240" s="144" t="s">
        <v>193</v>
      </c>
      <c r="B240" s="9" t="s">
        <v>495</v>
      </c>
      <c r="C240" s="9" t="s">
        <v>495</v>
      </c>
      <c r="D240" s="9">
        <v>0</v>
      </c>
      <c r="E240" s="9"/>
      <c r="F240" s="9">
        <v>0</v>
      </c>
      <c r="G240" s="83">
        <v>10374</v>
      </c>
      <c r="H240" s="83">
        <f t="shared" si="44"/>
        <v>10374</v>
      </c>
      <c r="I240" s="133">
        <f t="shared" si="48"/>
        <v>1</v>
      </c>
      <c r="J240" s="82">
        <v>0</v>
      </c>
      <c r="K240" s="82">
        <v>1000</v>
      </c>
      <c r="L240" s="82"/>
      <c r="M240" s="82">
        <v>1000</v>
      </c>
      <c r="N240" s="82"/>
      <c r="O240" s="82">
        <v>3000</v>
      </c>
      <c r="P240" s="82"/>
      <c r="Q240" s="82"/>
      <c r="R240" s="82">
        <v>3000</v>
      </c>
      <c r="S240" s="23"/>
      <c r="T240" s="23">
        <v>2374</v>
      </c>
      <c r="U240" s="23"/>
      <c r="V240" s="7" t="s">
        <v>673</v>
      </c>
      <c r="W240" s="82">
        <f t="shared" si="46"/>
        <v>0</v>
      </c>
      <c r="AA240" s="82">
        <v>0</v>
      </c>
      <c r="AB240" s="82"/>
      <c r="AC240" s="82"/>
      <c r="AD240" s="23"/>
      <c r="AE240" s="7" t="s">
        <v>431</v>
      </c>
      <c r="AH240" s="23">
        <f>SUM('2020 detail'!J240:U240)+'2020 detail'!AA240+'2020 detail'!AB240</f>
        <v>10374</v>
      </c>
      <c r="AJ240" s="23">
        <f t="shared" si="40"/>
        <v>0</v>
      </c>
      <c r="AL240" t="str">
        <f t="shared" si="47"/>
        <v>Same</v>
      </c>
    </row>
    <row r="241" spans="1:46" x14ac:dyDescent="0.2">
      <c r="A241" s="144" t="s">
        <v>194</v>
      </c>
      <c r="B241" s="9" t="s">
        <v>495</v>
      </c>
      <c r="C241" s="9" t="s">
        <v>495</v>
      </c>
      <c r="D241" s="9" t="s">
        <v>495</v>
      </c>
      <c r="E241" s="9"/>
      <c r="F241" s="9">
        <v>0</v>
      </c>
      <c r="G241" s="83">
        <v>69780</v>
      </c>
      <c r="H241" s="83">
        <f t="shared" si="44"/>
        <v>65315</v>
      </c>
      <c r="I241" s="133">
        <f t="shared" si="48"/>
        <v>0.93600000000000005</v>
      </c>
      <c r="J241" s="82">
        <v>5815</v>
      </c>
      <c r="K241" s="82"/>
      <c r="L241" s="82">
        <v>5000</v>
      </c>
      <c r="M241" s="82">
        <v>8000</v>
      </c>
      <c r="N241" s="82">
        <v>4000</v>
      </c>
      <c r="O241" s="82">
        <v>5000</v>
      </c>
      <c r="P241" s="82">
        <v>5000</v>
      </c>
      <c r="Q241" s="82">
        <v>7000</v>
      </c>
      <c r="R241" s="82">
        <v>5000</v>
      </c>
      <c r="S241" s="23">
        <v>5000</v>
      </c>
      <c r="T241" s="23"/>
      <c r="U241" s="23">
        <v>10500</v>
      </c>
      <c r="V241" s="7" t="s">
        <v>674</v>
      </c>
      <c r="W241" s="82">
        <f t="shared" si="46"/>
        <v>4465</v>
      </c>
      <c r="AA241" s="82">
        <v>5000</v>
      </c>
      <c r="AB241" s="82"/>
      <c r="AC241" s="82"/>
      <c r="AD241" s="23"/>
      <c r="AE241" s="7" t="s">
        <v>432</v>
      </c>
      <c r="AH241" s="23">
        <f>SUM('2020 detail'!J241:U241)+'2020 detail'!AA241+'2020 detail'!AB241</f>
        <v>69780</v>
      </c>
      <c r="AJ241" s="23">
        <f t="shared" si="40"/>
        <v>-4465</v>
      </c>
      <c r="AL241" t="str">
        <f t="shared" si="47"/>
        <v>Down</v>
      </c>
      <c r="AQ241" s="23">
        <v>10500</v>
      </c>
    </row>
    <row r="242" spans="1:46" x14ac:dyDescent="0.2">
      <c r="A242" s="144" t="s">
        <v>195</v>
      </c>
      <c r="B242" s="9">
        <v>0</v>
      </c>
      <c r="C242" s="9" t="s">
        <v>495</v>
      </c>
      <c r="D242" s="9" t="s">
        <v>495</v>
      </c>
      <c r="E242" s="9"/>
      <c r="F242" s="9">
        <v>0</v>
      </c>
      <c r="G242" s="83">
        <v>20294</v>
      </c>
      <c r="H242" s="83">
        <f t="shared" si="44"/>
        <v>12500</v>
      </c>
      <c r="I242" s="133">
        <f t="shared" si="48"/>
        <v>0.6159</v>
      </c>
      <c r="J242" s="82">
        <v>0</v>
      </c>
      <c r="K242" s="82">
        <v>3000</v>
      </c>
      <c r="L242" s="82">
        <v>1500</v>
      </c>
      <c r="M242" s="82">
        <v>1500</v>
      </c>
      <c r="N242" s="82"/>
      <c r="O242" s="82">
        <v>1500</v>
      </c>
      <c r="P242" s="82"/>
      <c r="Q242" s="82"/>
      <c r="R242" s="82"/>
      <c r="S242" s="23"/>
      <c r="T242" s="23"/>
      <c r="U242" s="23">
        <v>5000</v>
      </c>
      <c r="V242" s="7" t="s">
        <v>675</v>
      </c>
      <c r="W242" s="82">
        <f t="shared" si="46"/>
        <v>7794</v>
      </c>
      <c r="AA242" s="82">
        <v>0</v>
      </c>
      <c r="AB242" s="82"/>
      <c r="AC242" s="82"/>
      <c r="AD242" s="23"/>
      <c r="AE242" s="7" t="s">
        <v>430</v>
      </c>
      <c r="AH242" s="23">
        <f>SUM('2020 detail'!J242:U242)+'2020 detail'!AA242+'2020 detail'!AB242</f>
        <v>12000</v>
      </c>
      <c r="AJ242" s="23">
        <f t="shared" si="40"/>
        <v>500</v>
      </c>
      <c r="AL242" t="str">
        <f t="shared" si="47"/>
        <v>Up</v>
      </c>
      <c r="AQ242" s="23">
        <v>5000</v>
      </c>
    </row>
    <row r="243" spans="1:46" x14ac:dyDescent="0.2">
      <c r="A243" s="144" t="s">
        <v>196</v>
      </c>
      <c r="B243" s="9">
        <v>0</v>
      </c>
      <c r="C243" s="9">
        <v>0</v>
      </c>
      <c r="D243" s="9">
        <v>0</v>
      </c>
      <c r="E243" s="9"/>
      <c r="F243" s="9">
        <v>0</v>
      </c>
      <c r="G243" s="83">
        <v>12778</v>
      </c>
      <c r="H243" s="83">
        <f t="shared" si="44"/>
        <v>0</v>
      </c>
      <c r="I243" s="133">
        <f t="shared" si="48"/>
        <v>0</v>
      </c>
      <c r="J243" s="82">
        <v>0</v>
      </c>
      <c r="K243" s="82"/>
      <c r="L243" s="82"/>
      <c r="M243" s="82"/>
      <c r="N243" s="82"/>
      <c r="O243" s="82"/>
      <c r="P243" s="82"/>
      <c r="Q243" s="82"/>
      <c r="R243" s="82"/>
      <c r="S243" s="23"/>
      <c r="T243" s="23"/>
      <c r="U243" s="23"/>
      <c r="V243" s="7" t="s">
        <v>676</v>
      </c>
      <c r="W243" s="82">
        <f t="shared" si="46"/>
        <v>12778</v>
      </c>
      <c r="AA243" s="82">
        <v>0</v>
      </c>
      <c r="AB243" s="82"/>
      <c r="AC243" s="82"/>
      <c r="AD243" s="23"/>
      <c r="AE243" s="7" t="s">
        <v>430</v>
      </c>
      <c r="AH243" s="23">
        <f>SUM('2020 detail'!J243:U243)+'2020 detail'!AA243+'2020 detail'!AB243</f>
        <v>12777.999999999998</v>
      </c>
      <c r="AJ243" s="23">
        <f t="shared" si="40"/>
        <v>-12777.999999999998</v>
      </c>
      <c r="AL243" t="str">
        <f t="shared" si="47"/>
        <v>Down</v>
      </c>
    </row>
    <row r="244" spans="1:46" x14ac:dyDescent="0.2">
      <c r="A244" s="144" t="s">
        <v>197</v>
      </c>
      <c r="B244" s="9" t="s">
        <v>495</v>
      </c>
      <c r="C244" s="9" t="s">
        <v>495</v>
      </c>
      <c r="D244" s="9" t="s">
        <v>495</v>
      </c>
      <c r="E244" s="9"/>
      <c r="F244" s="9">
        <v>0</v>
      </c>
      <c r="G244" s="83">
        <v>18205</v>
      </c>
      <c r="H244" s="83">
        <f t="shared" si="44"/>
        <v>14600</v>
      </c>
      <c r="I244" s="133">
        <f t="shared" si="48"/>
        <v>0.80200000000000005</v>
      </c>
      <c r="J244" s="82">
        <v>0</v>
      </c>
      <c r="K244" s="82">
        <v>1400</v>
      </c>
      <c r="L244" s="82">
        <v>3000</v>
      </c>
      <c r="M244" s="82"/>
      <c r="N244" s="82">
        <v>1300</v>
      </c>
      <c r="O244" s="82">
        <v>1300</v>
      </c>
      <c r="P244" s="82">
        <v>1400</v>
      </c>
      <c r="Q244" s="82">
        <v>1300</v>
      </c>
      <c r="R244" s="82">
        <v>1300</v>
      </c>
      <c r="S244" s="23">
        <v>1300</v>
      </c>
      <c r="T244" s="23">
        <v>1300</v>
      </c>
      <c r="U244" s="23">
        <v>1000</v>
      </c>
      <c r="V244" s="7" t="s">
        <v>677</v>
      </c>
      <c r="W244" s="82">
        <f t="shared" si="46"/>
        <v>3605</v>
      </c>
      <c r="AA244" s="82">
        <v>0</v>
      </c>
      <c r="AB244" s="82"/>
      <c r="AC244" s="82"/>
      <c r="AD244" s="23"/>
      <c r="AE244" s="7" t="s">
        <v>438</v>
      </c>
      <c r="AH244" s="23">
        <f>SUM('2020 detail'!J244:U244)+'2020 detail'!AA244+'2020 detail'!AB244</f>
        <v>13648.44</v>
      </c>
      <c r="AJ244" s="23">
        <f t="shared" si="40"/>
        <v>951.55999999999949</v>
      </c>
      <c r="AL244" t="str">
        <f t="shared" si="47"/>
        <v>Up</v>
      </c>
      <c r="AQ244" s="23">
        <v>1000</v>
      </c>
    </row>
    <row r="245" spans="1:46" x14ac:dyDescent="0.2">
      <c r="A245" s="144" t="s">
        <v>198</v>
      </c>
      <c r="B245" s="9" t="s">
        <v>495</v>
      </c>
      <c r="C245" s="9" t="s">
        <v>495</v>
      </c>
      <c r="D245" s="9">
        <v>0</v>
      </c>
      <c r="E245" s="9"/>
      <c r="F245" s="9">
        <v>0</v>
      </c>
      <c r="G245" s="83">
        <v>16449</v>
      </c>
      <c r="H245" s="83">
        <f t="shared" si="44"/>
        <v>13000</v>
      </c>
      <c r="I245" s="133">
        <f t="shared" si="48"/>
        <v>0.7903</v>
      </c>
      <c r="J245" s="82">
        <v>0</v>
      </c>
      <c r="K245" s="82"/>
      <c r="L245" s="82"/>
      <c r="M245" s="82"/>
      <c r="N245" s="82"/>
      <c r="O245" s="82"/>
      <c r="P245" s="82">
        <v>9000</v>
      </c>
      <c r="Q245" s="82"/>
      <c r="R245" s="82"/>
      <c r="S245" s="23"/>
      <c r="T245" s="23"/>
      <c r="U245" s="23">
        <v>4000</v>
      </c>
      <c r="V245" s="7" t="s">
        <v>678</v>
      </c>
      <c r="W245" s="82">
        <f t="shared" si="46"/>
        <v>3449</v>
      </c>
      <c r="AA245" s="82">
        <v>0</v>
      </c>
      <c r="AB245" s="82"/>
      <c r="AC245" s="82"/>
      <c r="AD245" s="23"/>
      <c r="AE245" s="7" t="s">
        <v>438</v>
      </c>
      <c r="AH245" s="23">
        <f>SUM('2020 detail'!J245:U245)+'2020 detail'!AA245+'2020 detail'!AB245</f>
        <v>9870</v>
      </c>
      <c r="AJ245" s="23">
        <f t="shared" si="40"/>
        <v>3130</v>
      </c>
      <c r="AL245" t="str">
        <f t="shared" si="47"/>
        <v>Up</v>
      </c>
      <c r="AQ245" s="23">
        <v>4000</v>
      </c>
    </row>
    <row r="246" spans="1:46" x14ac:dyDescent="0.2">
      <c r="A246" s="144" t="s">
        <v>199</v>
      </c>
      <c r="B246" s="9" t="s">
        <v>495</v>
      </c>
      <c r="C246" s="9" t="s">
        <v>495</v>
      </c>
      <c r="D246" s="9" t="s">
        <v>495</v>
      </c>
      <c r="E246" s="9"/>
      <c r="F246" s="9">
        <v>0</v>
      </c>
      <c r="G246" s="83">
        <v>17857</v>
      </c>
      <c r="H246" s="83">
        <f t="shared" si="44"/>
        <v>17857</v>
      </c>
      <c r="I246" s="133">
        <f t="shared" si="48"/>
        <v>1</v>
      </c>
      <c r="J246" s="82">
        <v>450</v>
      </c>
      <c r="K246" s="82">
        <v>450</v>
      </c>
      <c r="L246" s="82">
        <v>450</v>
      </c>
      <c r="M246" s="82">
        <v>450</v>
      </c>
      <c r="N246" s="82">
        <v>450</v>
      </c>
      <c r="O246" s="82">
        <v>450</v>
      </c>
      <c r="P246" s="82">
        <v>450</v>
      </c>
      <c r="Q246" s="82">
        <v>450</v>
      </c>
      <c r="R246" s="82">
        <v>450</v>
      </c>
      <c r="S246" s="23">
        <v>5450</v>
      </c>
      <c r="T246" s="23">
        <v>2450</v>
      </c>
      <c r="U246" s="23">
        <v>5907</v>
      </c>
      <c r="V246" s="7" t="s">
        <v>679</v>
      </c>
      <c r="W246" s="82">
        <f t="shared" si="46"/>
        <v>0</v>
      </c>
      <c r="AA246" s="82">
        <v>0</v>
      </c>
      <c r="AB246" s="82"/>
      <c r="AC246" s="82"/>
      <c r="AD246" s="23"/>
      <c r="AE246" s="7" t="s">
        <v>438</v>
      </c>
      <c r="AH246" s="23">
        <f>SUM('2020 detail'!J246:U246)+'2020 detail'!AA246+'2020 detail'!AB246</f>
        <v>10584.220000000001</v>
      </c>
      <c r="AJ246" s="23">
        <f t="shared" si="40"/>
        <v>7272.7799999999988</v>
      </c>
      <c r="AL246" t="str">
        <f t="shared" si="47"/>
        <v>Up</v>
      </c>
      <c r="AQ246" s="23">
        <v>5907</v>
      </c>
    </row>
    <row r="247" spans="1:46" x14ac:dyDescent="0.2">
      <c r="A247" s="144" t="s">
        <v>200</v>
      </c>
      <c r="B247" s="9" t="s">
        <v>495</v>
      </c>
      <c r="C247" s="9" t="s">
        <v>495</v>
      </c>
      <c r="D247" s="9">
        <v>0</v>
      </c>
      <c r="E247" s="9"/>
      <c r="F247" s="9">
        <v>0</v>
      </c>
      <c r="G247" s="83">
        <v>17704</v>
      </c>
      <c r="H247" s="83">
        <f t="shared" si="44"/>
        <v>15312</v>
      </c>
      <c r="I247" s="133">
        <f t="shared" si="48"/>
        <v>0.8649</v>
      </c>
      <c r="J247" s="82">
        <v>0</v>
      </c>
      <c r="K247" s="82"/>
      <c r="L247" s="82"/>
      <c r="M247" s="82"/>
      <c r="N247" s="82">
        <v>5000</v>
      </c>
      <c r="O247" s="82"/>
      <c r="P247" s="82"/>
      <c r="Q247" s="82">
        <v>5000</v>
      </c>
      <c r="R247" s="82"/>
      <c r="S247" s="23">
        <v>1000</v>
      </c>
      <c r="T247" s="23">
        <v>1000</v>
      </c>
      <c r="U247" s="23">
        <v>3000</v>
      </c>
      <c r="V247" s="7" t="s">
        <v>680</v>
      </c>
      <c r="W247" s="82">
        <f t="shared" si="46"/>
        <v>2392</v>
      </c>
      <c r="AA247" s="82">
        <v>0</v>
      </c>
      <c r="AB247" s="82">
        <v>312</v>
      </c>
      <c r="AC247" s="82"/>
      <c r="AD247" s="23"/>
      <c r="AE247" s="7" t="s">
        <v>438</v>
      </c>
      <c r="AH247" s="23">
        <f>SUM('2020 detail'!J247:U247)+'2020 detail'!AA247+'2020 detail'!AB247</f>
        <v>12000</v>
      </c>
      <c r="AJ247" s="23">
        <f t="shared" si="40"/>
        <v>3312</v>
      </c>
      <c r="AL247" t="str">
        <f t="shared" si="47"/>
        <v>Up</v>
      </c>
      <c r="AQ247" s="23">
        <v>3000</v>
      </c>
    </row>
    <row r="248" spans="1:46" x14ac:dyDescent="0.2">
      <c r="A248" s="144" t="s">
        <v>201</v>
      </c>
      <c r="B248" s="9">
        <v>0</v>
      </c>
      <c r="C248" s="9" t="s">
        <v>495</v>
      </c>
      <c r="D248" s="9" t="s">
        <v>495</v>
      </c>
      <c r="E248" s="9"/>
      <c r="F248" s="9" t="s">
        <v>495</v>
      </c>
      <c r="G248" s="83">
        <v>21006</v>
      </c>
      <c r="H248" s="83">
        <f t="shared" si="44"/>
        <v>7200</v>
      </c>
      <c r="I248" s="133">
        <f t="shared" si="48"/>
        <v>0.34279999999999999</v>
      </c>
      <c r="J248" s="82">
        <v>600</v>
      </c>
      <c r="K248" s="82">
        <v>600</v>
      </c>
      <c r="L248" s="82">
        <v>600</v>
      </c>
      <c r="M248" s="82">
        <v>600</v>
      </c>
      <c r="N248" s="82">
        <v>600</v>
      </c>
      <c r="O248" s="82">
        <v>600</v>
      </c>
      <c r="P248" s="82">
        <v>600</v>
      </c>
      <c r="Q248" s="82">
        <v>600</v>
      </c>
      <c r="R248" s="82">
        <v>600</v>
      </c>
      <c r="S248" s="23">
        <v>600</v>
      </c>
      <c r="T248" s="23">
        <v>600</v>
      </c>
      <c r="U248" s="23">
        <v>600</v>
      </c>
      <c r="V248" s="7" t="s">
        <v>681</v>
      </c>
      <c r="W248" s="82">
        <f t="shared" si="46"/>
        <v>13806</v>
      </c>
      <c r="AA248" s="82">
        <v>0</v>
      </c>
      <c r="AB248" s="82"/>
      <c r="AC248" s="82"/>
      <c r="AD248" s="23"/>
      <c r="AE248" s="7" t="s">
        <v>439</v>
      </c>
      <c r="AH248" s="23">
        <f>SUM('2020 detail'!J248:U248)+'2020 detail'!AA248+'2020 detail'!AB248</f>
        <v>15963.880000000001</v>
      </c>
      <c r="AJ248" s="23">
        <f t="shared" si="40"/>
        <v>-8763.880000000001</v>
      </c>
      <c r="AL248" t="str">
        <f t="shared" si="47"/>
        <v>Down</v>
      </c>
      <c r="AQ248" s="23">
        <v>600</v>
      </c>
      <c r="AR248">
        <v>16455</v>
      </c>
    </row>
    <row r="249" spans="1:46" x14ac:dyDescent="0.2">
      <c r="A249" s="144" t="s">
        <v>202</v>
      </c>
      <c r="B249" s="9" t="s">
        <v>495</v>
      </c>
      <c r="C249" s="9" t="s">
        <v>495</v>
      </c>
      <c r="D249" s="9">
        <v>0</v>
      </c>
      <c r="E249" s="9"/>
      <c r="F249" s="9">
        <v>0</v>
      </c>
      <c r="G249" s="83">
        <v>15485</v>
      </c>
      <c r="H249" s="83">
        <f t="shared" si="44"/>
        <v>6312</v>
      </c>
      <c r="I249" s="133">
        <f t="shared" si="48"/>
        <v>0.40760000000000002</v>
      </c>
      <c r="J249" s="82">
        <v>0</v>
      </c>
      <c r="K249" s="82"/>
      <c r="L249" s="82"/>
      <c r="M249" s="82"/>
      <c r="N249" s="82"/>
      <c r="O249" s="82"/>
      <c r="P249" s="82"/>
      <c r="Q249" s="82"/>
      <c r="R249" s="82"/>
      <c r="S249" s="23"/>
      <c r="T249" s="23">
        <v>6000</v>
      </c>
      <c r="U249" s="23"/>
      <c r="V249" s="7" t="s">
        <v>682</v>
      </c>
      <c r="W249" s="82">
        <f t="shared" si="46"/>
        <v>9173</v>
      </c>
      <c r="AA249" s="82">
        <v>0</v>
      </c>
      <c r="AB249" s="82">
        <v>312</v>
      </c>
      <c r="AC249" s="82"/>
      <c r="AD249" s="23"/>
      <c r="AE249" s="7" t="s">
        <v>439</v>
      </c>
      <c r="AH249" s="23">
        <f>SUM('2020 detail'!J249:U249)+'2020 detail'!AA249+'2020 detail'!AB249</f>
        <v>6000</v>
      </c>
      <c r="AJ249" s="23">
        <f t="shared" si="40"/>
        <v>312</v>
      </c>
      <c r="AL249" t="str">
        <f t="shared" si="47"/>
        <v>Up</v>
      </c>
    </row>
    <row r="250" spans="1:46" x14ac:dyDescent="0.2">
      <c r="A250" s="144" t="s">
        <v>203</v>
      </c>
      <c r="B250" s="9" t="s">
        <v>495</v>
      </c>
      <c r="C250" s="9" t="s">
        <v>495</v>
      </c>
      <c r="D250" s="9" t="s">
        <v>495</v>
      </c>
      <c r="E250" s="9"/>
      <c r="F250" s="9">
        <v>0</v>
      </c>
      <c r="G250" s="83">
        <v>18514</v>
      </c>
      <c r="H250" s="83">
        <f t="shared" si="44"/>
        <v>13875</v>
      </c>
      <c r="I250" s="133">
        <f t="shared" si="48"/>
        <v>0.74939999999999996</v>
      </c>
      <c r="J250" s="82">
        <v>0</v>
      </c>
      <c r="K250" s="82"/>
      <c r="L250" s="82"/>
      <c r="M250" s="82">
        <v>4625</v>
      </c>
      <c r="N250" s="82"/>
      <c r="O250" s="82"/>
      <c r="P250" s="82"/>
      <c r="Q250" s="82"/>
      <c r="R250" s="82"/>
      <c r="S250" s="23"/>
      <c r="T250" s="23">
        <v>9250</v>
      </c>
      <c r="U250" s="23"/>
      <c r="V250" s="7" t="s">
        <v>683</v>
      </c>
      <c r="W250" s="82">
        <f t="shared" si="46"/>
        <v>4639</v>
      </c>
      <c r="AA250" s="82">
        <v>0</v>
      </c>
      <c r="AB250" s="82"/>
      <c r="AC250" s="82"/>
      <c r="AD250" s="23"/>
      <c r="AE250" s="7" t="s">
        <v>439</v>
      </c>
      <c r="AH250" s="23">
        <f>SUM('2020 detail'!J250:U250)+'2020 detail'!AA250+'2020 detail'!AB250</f>
        <v>9250</v>
      </c>
      <c r="AJ250" s="23">
        <f t="shared" si="40"/>
        <v>4625</v>
      </c>
      <c r="AL250" t="str">
        <f t="shared" si="47"/>
        <v>Up</v>
      </c>
    </row>
    <row r="251" spans="1:46" x14ac:dyDescent="0.2">
      <c r="A251" s="144" t="s">
        <v>204</v>
      </c>
      <c r="B251" s="9" t="s">
        <v>495</v>
      </c>
      <c r="C251" s="9">
        <v>0</v>
      </c>
      <c r="D251" s="9" t="s">
        <v>495</v>
      </c>
      <c r="E251" s="9"/>
      <c r="F251" s="9" t="s">
        <v>495</v>
      </c>
      <c r="G251" s="83">
        <v>7272</v>
      </c>
      <c r="H251" s="83">
        <f t="shared" si="44"/>
        <v>6000</v>
      </c>
      <c r="I251" s="133">
        <f t="shared" si="48"/>
        <v>0.82509999999999994</v>
      </c>
      <c r="J251" s="82">
        <v>500</v>
      </c>
      <c r="K251" s="82">
        <v>500</v>
      </c>
      <c r="L251" s="82">
        <v>500</v>
      </c>
      <c r="M251" s="82">
        <v>500</v>
      </c>
      <c r="N251" s="82">
        <v>500</v>
      </c>
      <c r="O251" s="82">
        <v>500</v>
      </c>
      <c r="P251" s="82">
        <v>500</v>
      </c>
      <c r="Q251" s="82">
        <v>500</v>
      </c>
      <c r="R251" s="82">
        <v>500</v>
      </c>
      <c r="S251" s="23">
        <v>500</v>
      </c>
      <c r="T251" s="23">
        <v>500</v>
      </c>
      <c r="U251" s="23">
        <v>500</v>
      </c>
      <c r="V251" s="7" t="s">
        <v>684</v>
      </c>
      <c r="W251" s="82">
        <f t="shared" si="46"/>
        <v>1272</v>
      </c>
      <c r="AA251" s="82">
        <v>0</v>
      </c>
      <c r="AB251" s="82"/>
      <c r="AC251" s="82"/>
      <c r="AD251" s="23"/>
      <c r="AE251" s="7" t="s">
        <v>439</v>
      </c>
      <c r="AH251" s="23">
        <f>SUM('2020 detail'!J251:U251)+'2020 detail'!AA251+'2020 detail'!AB251</f>
        <v>6000</v>
      </c>
      <c r="AJ251" s="23">
        <f t="shared" si="40"/>
        <v>0</v>
      </c>
      <c r="AL251" t="str">
        <f t="shared" si="47"/>
        <v>Same</v>
      </c>
      <c r="AQ251" s="23">
        <v>500</v>
      </c>
    </row>
    <row r="252" spans="1:46" x14ac:dyDescent="0.2">
      <c r="A252" s="144" t="s">
        <v>205</v>
      </c>
      <c r="B252" s="9" t="s">
        <v>495</v>
      </c>
      <c r="C252" s="9">
        <v>0</v>
      </c>
      <c r="D252" s="9">
        <v>0</v>
      </c>
      <c r="E252" s="9"/>
      <c r="F252" s="9" t="s">
        <v>495</v>
      </c>
      <c r="G252" s="83">
        <v>5049</v>
      </c>
      <c r="H252" s="83">
        <f t="shared" si="44"/>
        <v>5049</v>
      </c>
      <c r="I252" s="133">
        <f t="shared" si="48"/>
        <v>1</v>
      </c>
      <c r="J252" s="82">
        <v>200</v>
      </c>
      <c r="K252" s="82">
        <v>200</v>
      </c>
      <c r="L252" s="82">
        <v>200</v>
      </c>
      <c r="M252" s="82">
        <v>200</v>
      </c>
      <c r="N252" s="82">
        <v>200</v>
      </c>
      <c r="O252" s="82">
        <v>200</v>
      </c>
      <c r="P252" s="82">
        <v>200</v>
      </c>
      <c r="Q252" s="82">
        <v>200</v>
      </c>
      <c r="R252" s="82">
        <v>200</v>
      </c>
      <c r="S252" s="23">
        <v>200</v>
      </c>
      <c r="T252" s="23">
        <v>200</v>
      </c>
      <c r="U252" s="23">
        <v>2849</v>
      </c>
      <c r="V252" s="7" t="s">
        <v>685</v>
      </c>
      <c r="W252" s="82">
        <f t="shared" si="46"/>
        <v>0</v>
      </c>
      <c r="AA252" s="82">
        <v>0</v>
      </c>
      <c r="AB252" s="82"/>
      <c r="AC252" s="82"/>
      <c r="AD252" s="23"/>
      <c r="AE252" s="7" t="s">
        <v>439</v>
      </c>
      <c r="AH252" s="23">
        <f>SUM('2020 detail'!J252:U252)+'2020 detail'!AA252+'2020 detail'!AB252</f>
        <v>5049</v>
      </c>
      <c r="AJ252" s="23">
        <f t="shared" si="40"/>
        <v>0</v>
      </c>
      <c r="AL252" t="str">
        <f t="shared" si="47"/>
        <v>Same</v>
      </c>
      <c r="AQ252" s="23">
        <v>2849</v>
      </c>
    </row>
    <row r="253" spans="1:46" x14ac:dyDescent="0.2">
      <c r="A253" s="144" t="s">
        <v>206</v>
      </c>
      <c r="B253" s="9" t="s">
        <v>495</v>
      </c>
      <c r="C253" s="9" t="s">
        <v>495</v>
      </c>
      <c r="D253" s="9">
        <v>0</v>
      </c>
      <c r="E253" s="9"/>
      <c r="F253" s="9">
        <v>0</v>
      </c>
      <c r="G253" s="83">
        <v>27038</v>
      </c>
      <c r="H253" s="83">
        <f t="shared" si="44"/>
        <v>28539</v>
      </c>
      <c r="I253" s="133">
        <f t="shared" si="48"/>
        <v>1.0555000000000001</v>
      </c>
      <c r="J253" s="82">
        <v>1128</v>
      </c>
      <c r="K253" s="82">
        <v>2255</v>
      </c>
      <c r="L253" s="82">
        <v>2255</v>
      </c>
      <c r="M253" s="82">
        <v>2255</v>
      </c>
      <c r="N253" s="82"/>
      <c r="O253" s="82">
        <v>4510</v>
      </c>
      <c r="P253" s="82">
        <v>2255</v>
      </c>
      <c r="Q253" s="82"/>
      <c r="R253" s="82">
        <v>2255</v>
      </c>
      <c r="S253" s="23">
        <v>2255</v>
      </c>
      <c r="T253" s="23">
        <v>5060</v>
      </c>
      <c r="U253" s="82">
        <v>2811</v>
      </c>
      <c r="V253" s="7" t="s">
        <v>686</v>
      </c>
      <c r="W253" s="82">
        <f t="shared" si="46"/>
        <v>-1501</v>
      </c>
      <c r="AA253" s="82">
        <v>1500</v>
      </c>
      <c r="AB253" s="82"/>
      <c r="AC253" s="82"/>
      <c r="AD253" s="23"/>
      <c r="AE253" s="7" t="s">
        <v>440</v>
      </c>
      <c r="AH253" s="23">
        <f>SUM('2020 detail'!J253:U253)+'2020 detail'!AA253+'2020 detail'!AB253</f>
        <v>27237</v>
      </c>
      <c r="AJ253" s="23">
        <f t="shared" si="40"/>
        <v>1302</v>
      </c>
      <c r="AL253" t="str">
        <f t="shared" si="47"/>
        <v>Up</v>
      </c>
      <c r="AQ253" s="23">
        <v>2811</v>
      </c>
    </row>
    <row r="254" spans="1:46" x14ac:dyDescent="0.2">
      <c r="B254" s="9"/>
      <c r="C254" s="9"/>
      <c r="I254" s="133"/>
      <c r="AA254" s="82"/>
      <c r="AB254" s="82"/>
      <c r="AC254" s="82"/>
      <c r="AD254" s="23"/>
      <c r="AJ254" s="23"/>
    </row>
    <row r="255" spans="1:46" x14ac:dyDescent="0.2">
      <c r="A255" s="235" t="s">
        <v>1056</v>
      </c>
      <c r="B255" s="9"/>
      <c r="C255" s="9"/>
      <c r="G255" s="83">
        <f>SUM(G222:G254)</f>
        <v>773488</v>
      </c>
      <c r="H255" s="83">
        <f>SUM(H222:H254)</f>
        <v>577484.24</v>
      </c>
      <c r="I255" s="133">
        <f t="shared" ref="I255:I256" si="49">ROUND((H255/G255),4)</f>
        <v>0.74660000000000004</v>
      </c>
      <c r="J255" s="83">
        <f>SUM(J222:J254)</f>
        <v>22321.9</v>
      </c>
      <c r="K255" s="83">
        <f t="shared" ref="K255:W255" si="50">SUM(K222:K254)</f>
        <v>27398.9</v>
      </c>
      <c r="L255" s="83">
        <f t="shared" si="50"/>
        <v>33748.82</v>
      </c>
      <c r="M255" s="83">
        <f t="shared" si="50"/>
        <v>47673.82</v>
      </c>
      <c r="N255" s="83">
        <f t="shared" si="50"/>
        <v>40655.82</v>
      </c>
      <c r="O255" s="83">
        <f t="shared" si="50"/>
        <v>43273.82</v>
      </c>
      <c r="P255" s="83">
        <f t="shared" si="50"/>
        <v>55615.82</v>
      </c>
      <c r="Q255" s="83">
        <f t="shared" si="50"/>
        <v>43143.82</v>
      </c>
      <c r="R255" s="83">
        <f t="shared" si="50"/>
        <v>44538.82</v>
      </c>
      <c r="S255" s="4">
        <f t="shared" si="50"/>
        <v>37249.160000000003</v>
      </c>
      <c r="T255" s="4">
        <f t="shared" si="50"/>
        <v>80474.16</v>
      </c>
      <c r="U255" s="4">
        <f t="shared" si="50"/>
        <v>92144.38</v>
      </c>
      <c r="V255" s="77"/>
      <c r="W255" s="82">
        <f t="shared" si="50"/>
        <v>196003.76</v>
      </c>
      <c r="Y255" s="77"/>
      <c r="Z255" s="77"/>
      <c r="AA255" s="83">
        <f>SUM(AA222:AA254)</f>
        <v>6500</v>
      </c>
      <c r="AB255" s="83">
        <f t="shared" ref="AB255:AC255" si="51">SUM(AB222:AB254)</f>
        <v>2745</v>
      </c>
      <c r="AC255" s="83">
        <f t="shared" si="51"/>
        <v>0</v>
      </c>
      <c r="AD255" s="4"/>
      <c r="AH255" s="23">
        <f>SUM(AH222:AH254)</f>
        <v>556591.54</v>
      </c>
      <c r="AJ255" s="23">
        <f t="shared" si="40"/>
        <v>20892.699999999953</v>
      </c>
      <c r="AM255" s="11">
        <f>SUM(J255:R255)+SUM(S256:U256)+SUM('2020 detail'!AA254:AC254)</f>
        <v>556582.55000000005</v>
      </c>
      <c r="AN255" s="24">
        <f>ROUND((AM255/G255),4)</f>
        <v>0.71960000000000002</v>
      </c>
      <c r="AO255" s="24">
        <f>ROUND((SUM(J256:U256)/G256),4)</f>
        <v>0.70030000000000003</v>
      </c>
      <c r="AQ255" s="23">
        <f>SUM(AQ222:AQ254)</f>
        <v>92144.38</v>
      </c>
      <c r="AS255">
        <f>-SUM(AS223:AS254)</f>
        <v>-8396</v>
      </c>
      <c r="AT255" s="23">
        <f>W255+AS255</f>
        <v>187607.76</v>
      </c>
    </row>
    <row r="256" spans="1:46" x14ac:dyDescent="0.2">
      <c r="A256" s="236" t="s">
        <v>1057</v>
      </c>
      <c r="B256" s="9"/>
      <c r="C256" s="9"/>
      <c r="G256" s="206">
        <f>'2020 detail'!G255</f>
        <v>773488</v>
      </c>
      <c r="H256" s="206">
        <f>SUM(J256:AC256)</f>
        <v>557591.54</v>
      </c>
      <c r="I256" s="207">
        <f t="shared" si="49"/>
        <v>0.72089999999999999</v>
      </c>
      <c r="J256" s="206">
        <f>'2020 detail'!J255</f>
        <v>30426.960000000003</v>
      </c>
      <c r="K256" s="206">
        <f>'2020 detail'!K255</f>
        <v>40727.740000000005</v>
      </c>
      <c r="L256" s="206">
        <f>'2020 detail'!L255</f>
        <v>32447.939999999995</v>
      </c>
      <c r="M256" s="206">
        <f>'2020 detail'!M255</f>
        <v>40128.520000000004</v>
      </c>
      <c r="N256" s="206">
        <f>'2020 detail'!N255</f>
        <v>35768.129999999997</v>
      </c>
      <c r="O256" s="206">
        <f>'2020 detail'!O255</f>
        <v>35918.129999999997</v>
      </c>
      <c r="P256" s="206">
        <f>'2020 detail'!P255</f>
        <v>43700.37</v>
      </c>
      <c r="Q256" s="206">
        <f>'2020 detail'!Q255</f>
        <v>37877.369999999995</v>
      </c>
      <c r="R256" s="206">
        <f>'2020 detail'!R255</f>
        <v>46440.369999999995</v>
      </c>
      <c r="S256" s="165">
        <f>'2020 detail'!S255</f>
        <v>47803.37</v>
      </c>
      <c r="T256" s="165">
        <f>'2020 detail'!T255</f>
        <v>72343.820000000007</v>
      </c>
      <c r="U256" s="165">
        <f>'2020 detail'!U255</f>
        <v>78063.820000000007</v>
      </c>
      <c r="AA256" s="165">
        <f>'2020 detail'!AA255</f>
        <v>9296</v>
      </c>
      <c r="AB256" s="165">
        <f>'2020 detail'!AB255</f>
        <v>5649</v>
      </c>
      <c r="AC256" s="165">
        <f>'2020 detail'!AC255</f>
        <v>1000</v>
      </c>
      <c r="AJ256" s="23"/>
    </row>
    <row r="257" spans="1:43" x14ac:dyDescent="0.2">
      <c r="B257" s="9"/>
      <c r="C257" s="9"/>
      <c r="AJ257" s="23"/>
    </row>
    <row r="258" spans="1:43" ht="15.75" x14ac:dyDescent="0.25">
      <c r="G258" s="196" t="s">
        <v>12</v>
      </c>
      <c r="AH258" s="171" t="s">
        <v>1067</v>
      </c>
      <c r="AI258" s="172"/>
      <c r="AJ258" s="171" t="s">
        <v>1064</v>
      </c>
    </row>
    <row r="259" spans="1:43" x14ac:dyDescent="0.2">
      <c r="AH259" s="171" t="s">
        <v>1096</v>
      </c>
      <c r="AI259" s="172"/>
      <c r="AJ259" s="171" t="s">
        <v>1065</v>
      </c>
    </row>
    <row r="260" spans="1:43" ht="16.5" x14ac:dyDescent="0.25">
      <c r="A260" s="6"/>
      <c r="B260" s="8"/>
      <c r="C260" s="8"/>
      <c r="E260" s="8"/>
      <c r="F260" s="8"/>
      <c r="G260" s="208" t="str">
        <f>$G$3</f>
        <v>2021 PARISH SHARE INFORMATION AS AT 22 FEBRUARY 2022</v>
      </c>
      <c r="H260" s="209"/>
      <c r="W260" s="194"/>
      <c r="X260"/>
      <c r="Y260"/>
      <c r="Z260"/>
      <c r="AA260"/>
      <c r="AB260"/>
      <c r="AC260"/>
      <c r="AH260" s="172"/>
      <c r="AI260" s="172"/>
      <c r="AJ260" s="171" t="s">
        <v>1066</v>
      </c>
    </row>
    <row r="261" spans="1:43" x14ac:dyDescent="0.2">
      <c r="A261" s="6"/>
      <c r="G261" s="205"/>
      <c r="H261" s="197"/>
      <c r="W261" s="194"/>
      <c r="X261"/>
      <c r="Y261"/>
      <c r="Z261"/>
      <c r="AA261"/>
      <c r="AB261"/>
      <c r="AC261"/>
      <c r="AJ261" s="23"/>
    </row>
    <row r="262" spans="1:43" ht="16.5" x14ac:dyDescent="0.25">
      <c r="A262" s="204" t="s">
        <v>1</v>
      </c>
      <c r="B262" s="151" t="str">
        <f>$B$5</f>
        <v>RM</v>
      </c>
      <c r="C262" s="151" t="str">
        <f>$C$5</f>
        <v>RF</v>
      </c>
      <c r="D262" s="151" t="str">
        <f>$D$5</f>
        <v>Accts</v>
      </c>
      <c r="E262" s="151"/>
      <c r="F262" s="151" t="str">
        <f>$F$5</f>
        <v>Share DD</v>
      </c>
      <c r="G262" s="210" t="str">
        <f>$G$5</f>
        <v xml:space="preserve">2021 Share </v>
      </c>
      <c r="H262" s="211" t="str">
        <f>$H$5</f>
        <v xml:space="preserve">2021 Paid </v>
      </c>
      <c r="I262" s="211" t="str">
        <f>$I$5</f>
        <v xml:space="preserve">% Paid </v>
      </c>
      <c r="J262" s="212">
        <f>$J$5</f>
        <v>44227</v>
      </c>
      <c r="K262" s="212">
        <f>$K$5</f>
        <v>44255</v>
      </c>
      <c r="L262" s="212">
        <f>$L$5</f>
        <v>44286</v>
      </c>
      <c r="M262" s="212">
        <f>$M$5</f>
        <v>44316</v>
      </c>
      <c r="N262" s="212">
        <f>$N$5</f>
        <v>44347</v>
      </c>
      <c r="O262" s="212">
        <f>$O$5</f>
        <v>44377</v>
      </c>
      <c r="P262" s="212">
        <f>$P$5</f>
        <v>44408</v>
      </c>
      <c r="Q262" s="212">
        <f>$Q$5</f>
        <v>44439</v>
      </c>
      <c r="R262" s="212">
        <f>$R$5</f>
        <v>44469</v>
      </c>
      <c r="S262" s="155">
        <f>$S$5</f>
        <v>44500</v>
      </c>
      <c r="T262" s="155">
        <f>$T$5</f>
        <v>44530</v>
      </c>
      <c r="U262" s="155">
        <f>$U$5</f>
        <v>44561</v>
      </c>
      <c r="V262" s="78"/>
      <c r="W262" s="195" t="str">
        <f>$W$5</f>
        <v xml:space="preserve">Outstanding </v>
      </c>
      <c r="X262" s="2"/>
      <c r="Y262" s="2"/>
      <c r="Z262" s="2"/>
      <c r="AA262" s="2">
        <f>$AA$5</f>
        <v>44592</v>
      </c>
      <c r="AB262" s="2">
        <f>$AB$5</f>
        <v>44620</v>
      </c>
      <c r="AC262" s="2">
        <f>$AC$5</f>
        <v>44651</v>
      </c>
      <c r="AE262" s="152" t="str">
        <f>$AE$5</f>
        <v>Benefice</v>
      </c>
      <c r="AH262" s="16" t="s">
        <v>1062</v>
      </c>
      <c r="AJ262" s="170" t="s">
        <v>1063</v>
      </c>
      <c r="AQ262" s="222">
        <f>AQ5</f>
        <v>44588</v>
      </c>
    </row>
    <row r="263" spans="1:43" ht="16.5" x14ac:dyDescent="0.25">
      <c r="A263" s="6"/>
      <c r="G263" s="201" t="s">
        <v>1040</v>
      </c>
      <c r="H263" s="202" t="s">
        <v>1040</v>
      </c>
      <c r="I263" s="203"/>
      <c r="J263" s="202" t="s">
        <v>1040</v>
      </c>
      <c r="K263" s="202" t="s">
        <v>1040</v>
      </c>
      <c r="L263" s="202" t="s">
        <v>1040</v>
      </c>
      <c r="M263" s="202" t="s">
        <v>1040</v>
      </c>
      <c r="N263" s="202" t="s">
        <v>1040</v>
      </c>
      <c r="O263" s="202" t="s">
        <v>1040</v>
      </c>
      <c r="P263" s="202" t="s">
        <v>1040</v>
      </c>
      <c r="Q263" s="202" t="s">
        <v>1040</v>
      </c>
      <c r="R263" s="202" t="s">
        <v>1040</v>
      </c>
      <c r="S263" s="147" t="s">
        <v>1040</v>
      </c>
      <c r="T263" s="147" t="s">
        <v>1040</v>
      </c>
      <c r="U263" s="147" t="s">
        <v>1040</v>
      </c>
      <c r="W263" s="194"/>
      <c r="X263"/>
      <c r="Y263"/>
      <c r="Z263"/>
      <c r="AA263"/>
      <c r="AB263"/>
      <c r="AC263"/>
      <c r="AJ263" s="23"/>
    </row>
    <row r="264" spans="1:43" x14ac:dyDescent="0.2">
      <c r="AJ264" s="23"/>
    </row>
    <row r="265" spans="1:43" x14ac:dyDescent="0.2">
      <c r="A265" s="144" t="s">
        <v>207</v>
      </c>
      <c r="B265" s="9" t="s">
        <v>495</v>
      </c>
      <c r="C265" s="9">
        <v>0</v>
      </c>
      <c r="D265" s="9">
        <v>0</v>
      </c>
      <c r="E265" s="9"/>
      <c r="F265" s="9">
        <v>0</v>
      </c>
      <c r="G265" s="83">
        <v>137836</v>
      </c>
      <c r="H265" s="83">
        <f t="shared" ref="H265:H288" si="52">SUM(J265:U265)+SUM(AA265:AC265)</f>
        <v>137352</v>
      </c>
      <c r="I265" s="133">
        <f t="shared" ref="I265" si="53">ROUND((H265/G265),4)</f>
        <v>0.99650000000000005</v>
      </c>
      <c r="J265" s="82">
        <v>0</v>
      </c>
      <c r="K265" s="82"/>
      <c r="L265" s="82">
        <v>34338</v>
      </c>
      <c r="M265" s="82">
        <v>11446</v>
      </c>
      <c r="N265" s="82">
        <v>11446</v>
      </c>
      <c r="O265" s="82">
        <v>11446</v>
      </c>
      <c r="P265" s="82">
        <v>11446</v>
      </c>
      <c r="Q265" s="82">
        <v>11446</v>
      </c>
      <c r="R265" s="82">
        <v>11446</v>
      </c>
      <c r="S265" s="23">
        <v>11446</v>
      </c>
      <c r="T265" s="23">
        <v>11446</v>
      </c>
      <c r="U265" s="23">
        <v>11446</v>
      </c>
      <c r="V265" s="79" t="s">
        <v>687</v>
      </c>
      <c r="W265" s="82">
        <f t="shared" ref="W265:W288" si="54">G265-H265</f>
        <v>484</v>
      </c>
      <c r="Y265" s="4"/>
      <c r="Z265" s="4"/>
      <c r="AA265" s="82">
        <v>0</v>
      </c>
      <c r="AB265" s="82"/>
      <c r="AC265" s="82"/>
      <c r="AE265" s="7" t="s">
        <v>441</v>
      </c>
      <c r="AH265" s="23">
        <f>SUM('2020 detail'!J265:U265)+'2020 detail'!AA265+'2020 detail'!AB265</f>
        <v>137352</v>
      </c>
      <c r="AJ265" s="23">
        <f t="shared" ref="AJ265:AJ328" si="55">H265-AH265</f>
        <v>0</v>
      </c>
      <c r="AL265" t="str">
        <f t="shared" ref="AL265:AL288" si="56">IF(AJ265&lt;0,"Down",IF(AJ265&gt;0,"Up","Same"))</f>
        <v>Same</v>
      </c>
      <c r="AQ265" s="23">
        <v>11446</v>
      </c>
    </row>
    <row r="266" spans="1:43" x14ac:dyDescent="0.2">
      <c r="A266" s="144" t="s">
        <v>208</v>
      </c>
      <c r="B266" s="9" t="s">
        <v>495</v>
      </c>
      <c r="C266" s="9" t="s">
        <v>495</v>
      </c>
      <c r="D266" s="9" t="s">
        <v>495</v>
      </c>
      <c r="E266" s="9"/>
      <c r="F266" s="9">
        <v>0</v>
      </c>
      <c r="G266" s="83">
        <v>14960</v>
      </c>
      <c r="H266" s="83">
        <f t="shared" si="52"/>
        <v>14960</v>
      </c>
      <c r="I266" s="133">
        <f t="shared" ref="I266:I288" si="57">ROUND((H266/G266),4)</f>
        <v>1</v>
      </c>
      <c r="J266" s="82">
        <v>95</v>
      </c>
      <c r="K266" s="82"/>
      <c r="L266" s="82"/>
      <c r="M266" s="82">
        <v>1000</v>
      </c>
      <c r="N266" s="82">
        <v>1000</v>
      </c>
      <c r="O266" s="82"/>
      <c r="P266" s="82">
        <v>2000</v>
      </c>
      <c r="Q266" s="82"/>
      <c r="R266" s="82">
        <v>1042.4000000000001</v>
      </c>
      <c r="S266" s="23">
        <v>957.6</v>
      </c>
      <c r="T266" s="23"/>
      <c r="U266" s="23">
        <v>3000</v>
      </c>
      <c r="V266" s="79" t="s">
        <v>688</v>
      </c>
      <c r="W266" s="82">
        <f t="shared" si="54"/>
        <v>0</v>
      </c>
      <c r="Y266" s="79"/>
      <c r="Z266" s="79"/>
      <c r="AA266" s="82">
        <f>5960-95</f>
        <v>5865</v>
      </c>
      <c r="AB266" s="82"/>
      <c r="AC266" s="82"/>
      <c r="AD266" s="23"/>
      <c r="AE266" s="7" t="s">
        <v>441</v>
      </c>
      <c r="AH266" s="23">
        <f>SUM('2020 detail'!J266:U266)+'2020 detail'!AA266+'2020 detail'!AB266</f>
        <v>14865</v>
      </c>
      <c r="AJ266" s="23">
        <f t="shared" si="55"/>
        <v>95</v>
      </c>
      <c r="AL266" t="str">
        <f t="shared" si="56"/>
        <v>Up</v>
      </c>
      <c r="AQ266" s="23">
        <v>3000</v>
      </c>
    </row>
    <row r="267" spans="1:43" x14ac:dyDescent="0.2">
      <c r="A267" s="144" t="s">
        <v>209</v>
      </c>
      <c r="B267" s="9" t="s">
        <v>495</v>
      </c>
      <c r="C267" s="9" t="s">
        <v>495</v>
      </c>
      <c r="D267" s="9">
        <v>0</v>
      </c>
      <c r="E267" s="9"/>
      <c r="F267" s="9" t="s">
        <v>495</v>
      </c>
      <c r="G267" s="83">
        <v>6924</v>
      </c>
      <c r="H267" s="83">
        <f t="shared" si="52"/>
        <v>6924</v>
      </c>
      <c r="I267" s="133">
        <f t="shared" si="57"/>
        <v>1</v>
      </c>
      <c r="J267" s="82">
        <v>418.5</v>
      </c>
      <c r="K267" s="82">
        <v>577</v>
      </c>
      <c r="L267" s="82">
        <v>577</v>
      </c>
      <c r="M267" s="82">
        <v>577</v>
      </c>
      <c r="N267" s="82">
        <v>577</v>
      </c>
      <c r="O267" s="82">
        <v>577</v>
      </c>
      <c r="P267" s="82">
        <v>577</v>
      </c>
      <c r="Q267" s="82">
        <v>577</v>
      </c>
      <c r="R267" s="82">
        <v>577</v>
      </c>
      <c r="S267" s="23">
        <v>577</v>
      </c>
      <c r="T267" s="23">
        <v>577</v>
      </c>
      <c r="U267" s="23">
        <v>577</v>
      </c>
      <c r="V267" s="79" t="s">
        <v>689</v>
      </c>
      <c r="W267" s="82">
        <f t="shared" si="54"/>
        <v>0</v>
      </c>
      <c r="Y267" s="79"/>
      <c r="Z267" s="79"/>
      <c r="AA267" s="82">
        <v>0</v>
      </c>
      <c r="AB267" s="82">
        <v>158.5</v>
      </c>
      <c r="AC267" s="82"/>
      <c r="AD267" s="23"/>
      <c r="AE267" s="7" t="s">
        <v>445</v>
      </c>
      <c r="AH267" s="23">
        <f>SUM('2020 detail'!J267:U267)+'2020 detail'!AA267+'2020 detail'!AB267</f>
        <v>6924</v>
      </c>
      <c r="AJ267" s="23">
        <f t="shared" si="55"/>
        <v>0</v>
      </c>
      <c r="AL267" t="str">
        <f t="shared" si="56"/>
        <v>Same</v>
      </c>
      <c r="AQ267" s="23">
        <v>577</v>
      </c>
    </row>
    <row r="268" spans="1:43" x14ac:dyDescent="0.2">
      <c r="A268" s="144" t="s">
        <v>210</v>
      </c>
      <c r="B268" s="9" t="s">
        <v>495</v>
      </c>
      <c r="C268" s="9" t="s">
        <v>495</v>
      </c>
      <c r="D268" s="9" t="s">
        <v>495</v>
      </c>
      <c r="E268" s="9"/>
      <c r="F268" s="9" t="s">
        <v>495</v>
      </c>
      <c r="G268" s="83">
        <v>6924</v>
      </c>
      <c r="H268" s="83">
        <f t="shared" si="52"/>
        <v>6924</v>
      </c>
      <c r="I268" s="133">
        <f t="shared" si="57"/>
        <v>1</v>
      </c>
      <c r="J268" s="82">
        <v>500</v>
      </c>
      <c r="K268" s="82">
        <v>500</v>
      </c>
      <c r="L268" s="82">
        <v>500</v>
      </c>
      <c r="M268" s="82">
        <v>500</v>
      </c>
      <c r="N268" s="82">
        <v>500</v>
      </c>
      <c r="O268" s="82">
        <v>500</v>
      </c>
      <c r="P268" s="82">
        <v>500</v>
      </c>
      <c r="Q268" s="82">
        <v>500</v>
      </c>
      <c r="R268" s="82">
        <v>500</v>
      </c>
      <c r="S268" s="23">
        <v>500</v>
      </c>
      <c r="T268" s="23">
        <v>500</v>
      </c>
      <c r="U268" s="23">
        <v>1423.8</v>
      </c>
      <c r="V268" s="79" t="s">
        <v>690</v>
      </c>
      <c r="W268" s="82">
        <f t="shared" si="54"/>
        <v>0</v>
      </c>
      <c r="Y268" s="79"/>
      <c r="Z268" s="79"/>
      <c r="AA268" s="82">
        <v>0</v>
      </c>
      <c r="AB268" s="82">
        <v>0.2</v>
      </c>
      <c r="AC268" s="82"/>
      <c r="AD268" s="23"/>
      <c r="AE268" s="7" t="s">
        <v>445</v>
      </c>
      <c r="AH268" s="23">
        <f>SUM('2020 detail'!J268:U268)+'2020 detail'!AA268+'2020 detail'!AB268</f>
        <v>6924</v>
      </c>
      <c r="AJ268" s="23">
        <f t="shared" si="55"/>
        <v>0</v>
      </c>
      <c r="AL268" t="str">
        <f t="shared" si="56"/>
        <v>Same</v>
      </c>
      <c r="AQ268" s="23">
        <v>1423.8</v>
      </c>
    </row>
    <row r="269" spans="1:43" x14ac:dyDescent="0.2">
      <c r="A269" s="144" t="s">
        <v>211</v>
      </c>
      <c r="B269" s="9" t="s">
        <v>495</v>
      </c>
      <c r="C269" s="9" t="s">
        <v>495</v>
      </c>
      <c r="D269" s="9" t="s">
        <v>495</v>
      </c>
      <c r="E269" s="9"/>
      <c r="F269" s="9" t="s">
        <v>495</v>
      </c>
      <c r="G269" s="83">
        <v>4846</v>
      </c>
      <c r="H269" s="83">
        <f t="shared" si="52"/>
        <v>4846</v>
      </c>
      <c r="I269" s="133">
        <f t="shared" si="57"/>
        <v>1</v>
      </c>
      <c r="J269" s="82">
        <v>403.87</v>
      </c>
      <c r="K269" s="82">
        <v>403.83</v>
      </c>
      <c r="L269" s="82">
        <v>403.83</v>
      </c>
      <c r="M269" s="82">
        <v>403.83</v>
      </c>
      <c r="N269" s="82">
        <v>403.83</v>
      </c>
      <c r="O269" s="82">
        <v>403.83</v>
      </c>
      <c r="P269" s="82">
        <v>403.83</v>
      </c>
      <c r="Q269" s="82">
        <v>403.83</v>
      </c>
      <c r="R269" s="82">
        <v>403.83</v>
      </c>
      <c r="S269" s="23">
        <v>403.83</v>
      </c>
      <c r="T269" s="23">
        <v>403.83</v>
      </c>
      <c r="U269" s="23">
        <v>403.83</v>
      </c>
      <c r="V269" s="79" t="s">
        <v>691</v>
      </c>
      <c r="W269" s="82">
        <f t="shared" si="54"/>
        <v>0</v>
      </c>
      <c r="Y269" s="79"/>
      <c r="Z269" s="79"/>
      <c r="AA269" s="82">
        <v>0</v>
      </c>
      <c r="AB269" s="82"/>
      <c r="AC269" s="82"/>
      <c r="AD269" s="23"/>
      <c r="AE269" s="7" t="s">
        <v>445</v>
      </c>
      <c r="AH269" s="23">
        <f>SUM('2020 detail'!J269:U269)+'2020 detail'!AA269+'2020 detail'!AB269</f>
        <v>4846</v>
      </c>
      <c r="AJ269" s="23">
        <f t="shared" si="55"/>
        <v>0</v>
      </c>
      <c r="AL269" t="str">
        <f t="shared" si="56"/>
        <v>Same</v>
      </c>
      <c r="AQ269" s="23">
        <v>403.83</v>
      </c>
    </row>
    <row r="270" spans="1:43" x14ac:dyDescent="0.2">
      <c r="A270" s="144" t="s">
        <v>212</v>
      </c>
      <c r="B270" s="9" t="s">
        <v>495</v>
      </c>
      <c r="C270" s="9" t="s">
        <v>495</v>
      </c>
      <c r="D270" s="9" t="s">
        <v>495</v>
      </c>
      <c r="E270" s="9"/>
      <c r="F270" s="9">
        <v>0</v>
      </c>
      <c r="G270" s="83">
        <v>35889</v>
      </c>
      <c r="H270" s="83">
        <f t="shared" si="52"/>
        <v>27000</v>
      </c>
      <c r="I270" s="133">
        <f t="shared" si="57"/>
        <v>0.75229999999999997</v>
      </c>
      <c r="J270" s="82">
        <v>0</v>
      </c>
      <c r="K270" s="82">
        <v>3000</v>
      </c>
      <c r="L270" s="82">
        <v>3000</v>
      </c>
      <c r="M270" s="82"/>
      <c r="N270" s="82">
        <v>3000</v>
      </c>
      <c r="O270" s="82">
        <v>3000</v>
      </c>
      <c r="P270" s="82"/>
      <c r="Q270" s="82">
        <v>3000</v>
      </c>
      <c r="R270" s="82">
        <v>3000</v>
      </c>
      <c r="S270" s="23">
        <v>3000</v>
      </c>
      <c r="T270" s="23">
        <v>3000</v>
      </c>
      <c r="U270" s="23">
        <v>3000</v>
      </c>
      <c r="V270" s="79" t="s">
        <v>692</v>
      </c>
      <c r="W270" s="82">
        <f t="shared" si="54"/>
        <v>8889</v>
      </c>
      <c r="Y270" s="79"/>
      <c r="Z270" s="79"/>
      <c r="AA270" s="82">
        <v>0</v>
      </c>
      <c r="AB270" s="82"/>
      <c r="AC270" s="82"/>
      <c r="AD270" s="23"/>
      <c r="AE270" s="7" t="s">
        <v>442</v>
      </c>
      <c r="AH270" s="23">
        <f>SUM('2020 detail'!J270:U270)+'2020 detail'!AA270+'2020 detail'!AB270</f>
        <v>27789.03</v>
      </c>
      <c r="AJ270" s="23">
        <f t="shared" si="55"/>
        <v>-789.02999999999884</v>
      </c>
      <c r="AL270" t="str">
        <f t="shared" si="56"/>
        <v>Down</v>
      </c>
      <c r="AQ270" s="23">
        <v>3000</v>
      </c>
    </row>
    <row r="271" spans="1:43" x14ac:dyDescent="0.2">
      <c r="A271" s="144" t="s">
        <v>213</v>
      </c>
      <c r="B271" s="9" t="s">
        <v>495</v>
      </c>
      <c r="C271" s="9" t="s">
        <v>495</v>
      </c>
      <c r="D271" s="9" t="s">
        <v>495</v>
      </c>
      <c r="E271" s="9"/>
      <c r="F271" s="9" t="s">
        <v>495</v>
      </c>
      <c r="G271" s="83">
        <v>15529</v>
      </c>
      <c r="H271" s="83">
        <f t="shared" si="52"/>
        <v>12700</v>
      </c>
      <c r="I271" s="133">
        <f t="shared" si="57"/>
        <v>0.81779999999999997</v>
      </c>
      <c r="J271" s="82">
        <v>500</v>
      </c>
      <c r="K271" s="82">
        <v>500</v>
      </c>
      <c r="L271" s="82">
        <v>2500</v>
      </c>
      <c r="M271" s="82">
        <v>500</v>
      </c>
      <c r="N271" s="82">
        <v>500</v>
      </c>
      <c r="O271" s="82">
        <v>2000</v>
      </c>
      <c r="P271" s="82">
        <v>500</v>
      </c>
      <c r="Q271" s="82">
        <v>500</v>
      </c>
      <c r="R271" s="82">
        <v>3000</v>
      </c>
      <c r="S271" s="23">
        <v>500</v>
      </c>
      <c r="T271" s="23">
        <v>500</v>
      </c>
      <c r="U271" s="23">
        <v>1200</v>
      </c>
      <c r="V271" s="79" t="s">
        <v>693</v>
      </c>
      <c r="W271" s="82">
        <f t="shared" si="54"/>
        <v>2829</v>
      </c>
      <c r="Y271" s="79"/>
      <c r="Z271" s="79"/>
      <c r="AA271" s="82">
        <v>0</v>
      </c>
      <c r="AB271" s="82"/>
      <c r="AC271" s="82"/>
      <c r="AD271" s="23"/>
      <c r="AE271" s="7" t="s">
        <v>451</v>
      </c>
      <c r="AH271" s="23">
        <f>SUM('2020 detail'!J271:U271)+'2020 detail'!AA271+'2020 detail'!AB271</f>
        <v>10926</v>
      </c>
      <c r="AJ271" s="23">
        <f t="shared" si="55"/>
        <v>1774</v>
      </c>
      <c r="AL271" t="str">
        <f t="shared" si="56"/>
        <v>Up</v>
      </c>
      <c r="AQ271" s="23">
        <v>1200</v>
      </c>
    </row>
    <row r="272" spans="1:43" x14ac:dyDescent="0.2">
      <c r="A272" s="144" t="s">
        <v>214</v>
      </c>
      <c r="B272" s="9" t="s">
        <v>495</v>
      </c>
      <c r="C272" s="9" t="s">
        <v>495</v>
      </c>
      <c r="D272" s="9" t="s">
        <v>495</v>
      </c>
      <c r="E272" s="9"/>
      <c r="F272" s="9">
        <v>0</v>
      </c>
      <c r="G272" s="83">
        <v>29364</v>
      </c>
      <c r="H272" s="83">
        <f t="shared" si="52"/>
        <v>4000</v>
      </c>
      <c r="I272" s="133">
        <f t="shared" si="57"/>
        <v>0.13619999999999999</v>
      </c>
      <c r="J272" s="82">
        <v>0</v>
      </c>
      <c r="K272" s="82"/>
      <c r="L272" s="82"/>
      <c r="M272" s="82">
        <v>4000</v>
      </c>
      <c r="N272" s="82"/>
      <c r="O272" s="82"/>
      <c r="P272" s="82"/>
      <c r="Q272" s="82"/>
      <c r="R272" s="82"/>
      <c r="S272" s="23"/>
      <c r="T272" s="23"/>
      <c r="U272" s="23"/>
      <c r="V272" s="79" t="s">
        <v>694</v>
      </c>
      <c r="W272" s="82">
        <f t="shared" si="54"/>
        <v>25364</v>
      </c>
      <c r="Y272" s="79"/>
      <c r="Z272" s="79"/>
      <c r="AA272" s="82">
        <v>0</v>
      </c>
      <c r="AB272" s="82"/>
      <c r="AC272" s="82"/>
      <c r="AD272" s="23"/>
      <c r="AE272" s="7" t="s">
        <v>442</v>
      </c>
      <c r="AH272" s="23">
        <f>SUM('2020 detail'!J272:U272)+'2020 detail'!AA272+'2020 detail'!AB272</f>
        <v>7000</v>
      </c>
      <c r="AJ272" s="23">
        <f t="shared" si="55"/>
        <v>-3000</v>
      </c>
      <c r="AL272" t="str">
        <f t="shared" si="56"/>
        <v>Down</v>
      </c>
    </row>
    <row r="273" spans="1:43" x14ac:dyDescent="0.2">
      <c r="A273" s="144" t="s">
        <v>215</v>
      </c>
      <c r="B273" s="9" t="s">
        <v>495</v>
      </c>
      <c r="C273" s="9">
        <v>0</v>
      </c>
      <c r="D273" s="9">
        <v>0</v>
      </c>
      <c r="E273" s="9"/>
      <c r="F273" s="9">
        <v>0</v>
      </c>
      <c r="G273" s="83">
        <v>4447</v>
      </c>
      <c r="H273" s="83">
        <f t="shared" si="52"/>
        <v>2500</v>
      </c>
      <c r="I273" s="133">
        <f t="shared" si="57"/>
        <v>0.56220000000000003</v>
      </c>
      <c r="J273" s="82">
        <v>0</v>
      </c>
      <c r="K273" s="82"/>
      <c r="L273" s="82"/>
      <c r="M273" s="82"/>
      <c r="N273" s="82"/>
      <c r="O273" s="82"/>
      <c r="P273" s="82"/>
      <c r="Q273" s="82"/>
      <c r="R273" s="82"/>
      <c r="S273" s="23"/>
      <c r="T273" s="23"/>
      <c r="U273" s="23">
        <v>2000</v>
      </c>
      <c r="V273" s="79" t="s">
        <v>695</v>
      </c>
      <c r="W273" s="82">
        <f t="shared" si="54"/>
        <v>1947</v>
      </c>
      <c r="Y273" s="79"/>
      <c r="Z273" s="79"/>
      <c r="AA273" s="82">
        <v>0</v>
      </c>
      <c r="AB273" s="82">
        <v>500</v>
      </c>
      <c r="AC273" s="82"/>
      <c r="AD273" s="23"/>
      <c r="AE273" s="7" t="s">
        <v>451</v>
      </c>
      <c r="AH273" s="23">
        <f>SUM('2020 detail'!J273:U273)+'2020 detail'!AA273+'2020 detail'!AB273</f>
        <v>2000</v>
      </c>
      <c r="AJ273" s="23">
        <f t="shared" si="55"/>
        <v>500</v>
      </c>
      <c r="AL273" t="str">
        <f t="shared" si="56"/>
        <v>Up</v>
      </c>
      <c r="AQ273" s="23">
        <v>2000</v>
      </c>
    </row>
    <row r="274" spans="1:43" x14ac:dyDescent="0.2">
      <c r="A274" s="144" t="s">
        <v>216</v>
      </c>
      <c r="B274" s="9" t="s">
        <v>495</v>
      </c>
      <c r="C274" s="9" t="s">
        <v>495</v>
      </c>
      <c r="D274" s="9" t="s">
        <v>495</v>
      </c>
      <c r="E274" s="9"/>
      <c r="F274" s="9">
        <v>0</v>
      </c>
      <c r="G274" s="83">
        <v>74014</v>
      </c>
      <c r="H274" s="83">
        <f t="shared" si="52"/>
        <v>74014</v>
      </c>
      <c r="I274" s="133">
        <f t="shared" si="57"/>
        <v>1</v>
      </c>
      <c r="J274" s="82">
        <v>6500</v>
      </c>
      <c r="K274" s="82">
        <v>6500</v>
      </c>
      <c r="L274" s="82"/>
      <c r="M274" s="82">
        <v>13000</v>
      </c>
      <c r="N274" s="82">
        <v>6500</v>
      </c>
      <c r="O274" s="82">
        <v>6500</v>
      </c>
      <c r="P274" s="82">
        <v>6500</v>
      </c>
      <c r="Q274" s="82"/>
      <c r="R274" s="82">
        <v>7000</v>
      </c>
      <c r="S274" s="23">
        <v>14500</v>
      </c>
      <c r="T274" s="23"/>
      <c r="U274" s="23">
        <v>7014</v>
      </c>
      <c r="V274" s="79" t="s">
        <v>696</v>
      </c>
      <c r="W274" s="82">
        <f t="shared" si="54"/>
        <v>0</v>
      </c>
      <c r="Y274" s="79"/>
      <c r="Z274" s="79"/>
      <c r="AA274" s="82">
        <v>0</v>
      </c>
      <c r="AB274" s="82"/>
      <c r="AC274" s="82"/>
      <c r="AD274" s="23"/>
      <c r="AE274" s="7" t="s">
        <v>443</v>
      </c>
      <c r="AH274" s="23">
        <f>SUM('2020 detail'!J274:U274)+'2020 detail'!AA274+'2020 detail'!AB274</f>
        <v>74014</v>
      </c>
      <c r="AJ274" s="23">
        <f t="shared" si="55"/>
        <v>0</v>
      </c>
      <c r="AL274" t="str">
        <f t="shared" si="56"/>
        <v>Same</v>
      </c>
      <c r="AQ274" s="23">
        <v>7014</v>
      </c>
    </row>
    <row r="275" spans="1:43" x14ac:dyDescent="0.2">
      <c r="A275" s="144" t="s">
        <v>217</v>
      </c>
      <c r="B275" s="9">
        <v>0</v>
      </c>
      <c r="C275" s="9">
        <v>0</v>
      </c>
      <c r="D275" s="9">
        <v>0</v>
      </c>
      <c r="E275" s="9"/>
      <c r="F275" s="9">
        <v>0</v>
      </c>
      <c r="G275" s="83">
        <v>12489</v>
      </c>
      <c r="H275" s="83">
        <f t="shared" si="52"/>
        <v>6244.44</v>
      </c>
      <c r="I275" s="133">
        <f t="shared" si="57"/>
        <v>0.5</v>
      </c>
      <c r="J275" s="82">
        <v>0</v>
      </c>
      <c r="K275" s="82"/>
      <c r="L275" s="82"/>
      <c r="M275" s="82"/>
      <c r="N275" s="82">
        <v>2601.85</v>
      </c>
      <c r="O275" s="82">
        <v>520.37</v>
      </c>
      <c r="P275" s="82">
        <v>520.37</v>
      </c>
      <c r="Q275" s="82">
        <v>520.37</v>
      </c>
      <c r="R275" s="82">
        <v>520.37</v>
      </c>
      <c r="S275" s="23">
        <v>520.37</v>
      </c>
      <c r="T275" s="23">
        <v>520.37</v>
      </c>
      <c r="U275" s="23">
        <v>520.37</v>
      </c>
      <c r="V275" s="79" t="s">
        <v>697</v>
      </c>
      <c r="W275" s="82">
        <f t="shared" si="54"/>
        <v>6244.56</v>
      </c>
      <c r="Y275" s="79"/>
      <c r="Z275" s="79"/>
      <c r="AA275" s="82">
        <v>0</v>
      </c>
      <c r="AB275" s="82"/>
      <c r="AC275" s="82"/>
      <c r="AD275" s="23"/>
      <c r="AE275" s="7" t="s">
        <v>444</v>
      </c>
      <c r="AH275" s="23">
        <f>SUM('2020 detail'!J275:U275)+'2020 detail'!AA275+'2020 detail'!AB275</f>
        <v>12489</v>
      </c>
      <c r="AJ275" s="23">
        <f t="shared" si="55"/>
        <v>-6244.56</v>
      </c>
      <c r="AL275" t="str">
        <f t="shared" si="56"/>
        <v>Down</v>
      </c>
      <c r="AQ275" s="23">
        <v>520.37</v>
      </c>
    </row>
    <row r="276" spans="1:43" x14ac:dyDescent="0.2">
      <c r="A276" s="144" t="s">
        <v>218</v>
      </c>
      <c r="B276" s="9" t="s">
        <v>495</v>
      </c>
      <c r="C276" s="9">
        <v>0</v>
      </c>
      <c r="D276" s="9" t="s">
        <v>495</v>
      </c>
      <c r="E276" s="9"/>
      <c r="F276" s="9" t="s">
        <v>495</v>
      </c>
      <c r="G276" s="83">
        <v>8234</v>
      </c>
      <c r="H276" s="83">
        <f t="shared" si="52"/>
        <v>3000</v>
      </c>
      <c r="I276" s="133">
        <f t="shared" si="57"/>
        <v>0.36430000000000001</v>
      </c>
      <c r="J276" s="82">
        <v>250</v>
      </c>
      <c r="K276" s="82">
        <v>250</v>
      </c>
      <c r="L276" s="82">
        <v>250</v>
      </c>
      <c r="M276" s="82">
        <v>250</v>
      </c>
      <c r="N276" s="82">
        <v>250</v>
      </c>
      <c r="O276" s="82">
        <v>250</v>
      </c>
      <c r="P276" s="82">
        <v>250</v>
      </c>
      <c r="Q276" s="82">
        <v>250</v>
      </c>
      <c r="R276" s="82">
        <v>250</v>
      </c>
      <c r="S276" s="23">
        <v>250</v>
      </c>
      <c r="T276" s="23">
        <v>250</v>
      </c>
      <c r="U276" s="23">
        <v>250</v>
      </c>
      <c r="V276" s="79" t="s">
        <v>698</v>
      </c>
      <c r="W276" s="82">
        <f t="shared" si="54"/>
        <v>5234</v>
      </c>
      <c r="Y276" s="79"/>
      <c r="Z276" s="79"/>
      <c r="AA276" s="82">
        <v>0</v>
      </c>
      <c r="AB276" s="82"/>
      <c r="AC276" s="82"/>
      <c r="AD276" s="23"/>
      <c r="AE276" s="7" t="s">
        <v>444</v>
      </c>
      <c r="AH276" s="23">
        <f>SUM('2020 detail'!J276:U276)+'2020 detail'!AA276+'2020 detail'!AB276</f>
        <v>3000</v>
      </c>
      <c r="AJ276" s="23">
        <f t="shared" si="55"/>
        <v>0</v>
      </c>
      <c r="AL276" t="str">
        <f t="shared" si="56"/>
        <v>Same</v>
      </c>
      <c r="AQ276" s="23">
        <v>250</v>
      </c>
    </row>
    <row r="277" spans="1:43" x14ac:dyDescent="0.2">
      <c r="A277" s="144" t="s">
        <v>219</v>
      </c>
      <c r="B277" s="9" t="s">
        <v>495</v>
      </c>
      <c r="C277" s="9" t="s">
        <v>495</v>
      </c>
      <c r="D277" s="9" t="s">
        <v>495</v>
      </c>
      <c r="E277" s="9"/>
      <c r="F277" s="9">
        <v>0</v>
      </c>
      <c r="G277" s="83">
        <v>5352</v>
      </c>
      <c r="H277" s="83">
        <f t="shared" si="52"/>
        <v>2400</v>
      </c>
      <c r="I277" s="133">
        <f t="shared" si="57"/>
        <v>0.44840000000000002</v>
      </c>
      <c r="J277" s="82">
        <v>200</v>
      </c>
      <c r="K277" s="82">
        <v>200</v>
      </c>
      <c r="L277" s="82">
        <v>200</v>
      </c>
      <c r="M277" s="82">
        <v>200</v>
      </c>
      <c r="N277" s="82">
        <v>200</v>
      </c>
      <c r="O277" s="82">
        <v>200</v>
      </c>
      <c r="P277" s="82">
        <v>200</v>
      </c>
      <c r="Q277" s="82">
        <v>200</v>
      </c>
      <c r="R277" s="82">
        <v>200</v>
      </c>
      <c r="S277" s="23">
        <v>200</v>
      </c>
      <c r="T277" s="23">
        <v>200</v>
      </c>
      <c r="U277" s="23">
        <v>200</v>
      </c>
      <c r="V277" s="79" t="s">
        <v>699</v>
      </c>
      <c r="W277" s="82">
        <f t="shared" si="54"/>
        <v>2952</v>
      </c>
      <c r="Y277" s="79"/>
      <c r="Z277" s="79"/>
      <c r="AA277" s="82">
        <v>0</v>
      </c>
      <c r="AB277" s="82"/>
      <c r="AC277" s="82"/>
      <c r="AD277" s="23"/>
      <c r="AE277" s="7" t="s">
        <v>444</v>
      </c>
      <c r="AH277" s="23">
        <f>SUM('2020 detail'!J277:U277)+'2020 detail'!AA277+'2020 detail'!AB277</f>
        <v>5152</v>
      </c>
      <c r="AJ277" s="23">
        <f t="shared" si="55"/>
        <v>-2752</v>
      </c>
      <c r="AL277" t="str">
        <f t="shared" si="56"/>
        <v>Down</v>
      </c>
      <c r="AQ277" s="23">
        <v>200</v>
      </c>
    </row>
    <row r="278" spans="1:43" x14ac:dyDescent="0.2">
      <c r="A278" s="144" t="s">
        <v>220</v>
      </c>
      <c r="B278" s="9" t="s">
        <v>495</v>
      </c>
      <c r="C278" s="9" t="s">
        <v>495</v>
      </c>
      <c r="D278" s="9" t="s">
        <v>495</v>
      </c>
      <c r="E278" s="9"/>
      <c r="F278" s="9" t="s">
        <v>495</v>
      </c>
      <c r="G278" s="83">
        <v>50544</v>
      </c>
      <c r="H278" s="83">
        <f t="shared" si="52"/>
        <v>50544</v>
      </c>
      <c r="I278" s="133">
        <f t="shared" si="57"/>
        <v>1</v>
      </c>
      <c r="J278" s="82">
        <v>4212</v>
      </c>
      <c r="K278" s="82">
        <v>4212</v>
      </c>
      <c r="L278" s="82">
        <v>4212</v>
      </c>
      <c r="M278" s="82">
        <v>4212</v>
      </c>
      <c r="N278" s="82">
        <v>4212</v>
      </c>
      <c r="O278" s="82">
        <v>4212</v>
      </c>
      <c r="P278" s="82">
        <v>4212</v>
      </c>
      <c r="Q278" s="82">
        <v>4212</v>
      </c>
      <c r="R278" s="82">
        <v>4212</v>
      </c>
      <c r="S278" s="23">
        <v>4212</v>
      </c>
      <c r="T278" s="23">
        <v>4212</v>
      </c>
      <c r="U278" s="23">
        <v>4212</v>
      </c>
      <c r="V278" s="79" t="s">
        <v>700</v>
      </c>
      <c r="W278" s="82">
        <f t="shared" si="54"/>
        <v>0</v>
      </c>
      <c r="Y278" s="79"/>
      <c r="Z278" s="79"/>
      <c r="AA278" s="82">
        <v>0</v>
      </c>
      <c r="AB278" s="82"/>
      <c r="AC278" s="82"/>
      <c r="AD278" s="23"/>
      <c r="AE278" s="7" t="s">
        <v>445</v>
      </c>
      <c r="AH278" s="23">
        <f>SUM('2020 detail'!J278:U278)+'2020 detail'!AA278+'2020 detail'!AB278</f>
        <v>50544</v>
      </c>
      <c r="AJ278" s="23">
        <f t="shared" si="55"/>
        <v>0</v>
      </c>
      <c r="AL278" t="str">
        <f t="shared" si="56"/>
        <v>Same</v>
      </c>
      <c r="AQ278" s="23">
        <v>4212</v>
      </c>
    </row>
    <row r="279" spans="1:43" x14ac:dyDescent="0.2">
      <c r="A279" s="144" t="s">
        <v>221</v>
      </c>
      <c r="B279" s="9" t="s">
        <v>495</v>
      </c>
      <c r="C279" s="9" t="s">
        <v>495</v>
      </c>
      <c r="D279" s="9">
        <v>0</v>
      </c>
      <c r="E279" s="9"/>
      <c r="F279" s="9">
        <v>0</v>
      </c>
      <c r="G279" s="83">
        <v>54722</v>
      </c>
      <c r="H279" s="83">
        <f t="shared" si="52"/>
        <v>41041.5</v>
      </c>
      <c r="I279" s="133">
        <f t="shared" si="57"/>
        <v>0.75</v>
      </c>
      <c r="J279" s="82">
        <v>2800</v>
      </c>
      <c r="K279" s="82"/>
      <c r="L279" s="82">
        <v>2736.1</v>
      </c>
      <c r="M279" s="82">
        <v>2736.1</v>
      </c>
      <c r="N279" s="82"/>
      <c r="O279" s="82">
        <v>8208.2999999999993</v>
      </c>
      <c r="P279" s="82"/>
      <c r="Q279" s="82"/>
      <c r="R279" s="82">
        <v>8208.2999999999993</v>
      </c>
      <c r="S279" s="23">
        <v>5472.2</v>
      </c>
      <c r="T279" s="23">
        <v>8144.4</v>
      </c>
      <c r="U279" s="23">
        <v>2736.1</v>
      </c>
      <c r="V279" s="79" t="s">
        <v>701</v>
      </c>
      <c r="W279" s="82">
        <f t="shared" si="54"/>
        <v>13680.5</v>
      </c>
      <c r="Y279" s="79"/>
      <c r="Z279" s="79"/>
      <c r="AA279" s="82">
        <v>0</v>
      </c>
      <c r="AB279" s="82"/>
      <c r="AC279" s="82"/>
      <c r="AD279" s="23"/>
      <c r="AE279" s="7" t="s">
        <v>446</v>
      </c>
      <c r="AH279" s="23">
        <f>SUM('2020 detail'!J279:U279)+'2020 detail'!AA279+'2020 detail'!AB279</f>
        <v>38305.399999999994</v>
      </c>
      <c r="AJ279" s="23">
        <f t="shared" si="55"/>
        <v>2736.1000000000058</v>
      </c>
      <c r="AL279" t="str">
        <f t="shared" si="56"/>
        <v>Up</v>
      </c>
      <c r="AQ279" s="23">
        <v>2736.1</v>
      </c>
    </row>
    <row r="280" spans="1:43" x14ac:dyDescent="0.2">
      <c r="A280" s="144" t="s">
        <v>222</v>
      </c>
      <c r="B280" s="9" t="s">
        <v>495</v>
      </c>
      <c r="C280" s="9" t="s">
        <v>495</v>
      </c>
      <c r="D280" s="9" t="s">
        <v>495</v>
      </c>
      <c r="E280" s="9"/>
      <c r="F280" s="9">
        <v>0</v>
      </c>
      <c r="G280" s="83">
        <v>11607</v>
      </c>
      <c r="H280" s="83">
        <f t="shared" si="52"/>
        <v>3000</v>
      </c>
      <c r="I280" s="133">
        <f t="shared" si="57"/>
        <v>0.25850000000000001</v>
      </c>
      <c r="J280" s="82">
        <v>0</v>
      </c>
      <c r="K280" s="82"/>
      <c r="L280" s="82"/>
      <c r="M280" s="82"/>
      <c r="N280" s="82"/>
      <c r="O280" s="82"/>
      <c r="P280" s="82">
        <v>1000</v>
      </c>
      <c r="Q280" s="82"/>
      <c r="R280" s="82">
        <v>1000</v>
      </c>
      <c r="S280" s="23"/>
      <c r="T280" s="23"/>
      <c r="U280" s="23">
        <v>1000</v>
      </c>
      <c r="V280" s="79" t="s">
        <v>702</v>
      </c>
      <c r="W280" s="82">
        <f t="shared" si="54"/>
        <v>8607</v>
      </c>
      <c r="Y280" s="79"/>
      <c r="Z280" s="79"/>
      <c r="AA280" s="82">
        <v>0</v>
      </c>
      <c r="AB280" s="82"/>
      <c r="AC280" s="82"/>
      <c r="AD280" s="23"/>
      <c r="AE280" s="7" t="s">
        <v>446</v>
      </c>
      <c r="AH280" s="23">
        <f>SUM('2020 detail'!J280:U280)+'2020 detail'!AA280+'2020 detail'!AB280</f>
        <v>6000</v>
      </c>
      <c r="AJ280" s="23">
        <f t="shared" si="55"/>
        <v>-3000</v>
      </c>
      <c r="AL280" t="str">
        <f t="shared" si="56"/>
        <v>Down</v>
      </c>
      <c r="AQ280" s="23">
        <v>1000</v>
      </c>
    </row>
    <row r="281" spans="1:43" x14ac:dyDescent="0.2">
      <c r="A281" s="144" t="s">
        <v>223</v>
      </c>
      <c r="B281" s="9" t="s">
        <v>495</v>
      </c>
      <c r="C281" s="9" t="s">
        <v>495</v>
      </c>
      <c r="D281" s="9" t="s">
        <v>495</v>
      </c>
      <c r="E281" s="9"/>
      <c r="F281" s="9" t="s">
        <v>495</v>
      </c>
      <c r="G281" s="83">
        <v>33762</v>
      </c>
      <c r="H281" s="83">
        <f t="shared" si="52"/>
        <v>27904.799999999999</v>
      </c>
      <c r="I281" s="133">
        <f t="shared" si="57"/>
        <v>0.82650000000000001</v>
      </c>
      <c r="J281" s="82">
        <v>2976.2</v>
      </c>
      <c r="K281" s="82">
        <v>2976.2</v>
      </c>
      <c r="L281" s="82">
        <v>0</v>
      </c>
      <c r="M281" s="82">
        <v>2976.2</v>
      </c>
      <c r="N281" s="82">
        <v>2976.2</v>
      </c>
      <c r="O281" s="82"/>
      <c r="P281" s="82">
        <v>2000</v>
      </c>
      <c r="Q281" s="82">
        <v>2000</v>
      </c>
      <c r="R281" s="82">
        <v>2000</v>
      </c>
      <c r="S281" s="23">
        <v>2000</v>
      </c>
      <c r="T281" s="23">
        <v>6000</v>
      </c>
      <c r="U281" s="23">
        <v>2000</v>
      </c>
      <c r="V281" s="79" t="s">
        <v>703</v>
      </c>
      <c r="W281" s="82">
        <f t="shared" si="54"/>
        <v>5857.2000000000007</v>
      </c>
      <c r="Y281" s="79"/>
      <c r="Z281" s="79"/>
      <c r="AA281" s="82">
        <v>0</v>
      </c>
      <c r="AB281" s="82"/>
      <c r="AC281" s="82"/>
      <c r="AD281" s="23"/>
      <c r="AE281" s="7" t="s">
        <v>450</v>
      </c>
      <c r="AH281" s="23">
        <f>SUM('2020 detail'!J281:U281)+'2020 detail'!AA281+'2020 detail'!AB281</f>
        <v>33762</v>
      </c>
      <c r="AJ281" s="23">
        <f t="shared" si="55"/>
        <v>-5857.2000000000007</v>
      </c>
      <c r="AL281" t="str">
        <f t="shared" si="56"/>
        <v>Down</v>
      </c>
      <c r="AQ281" s="23">
        <v>2000</v>
      </c>
    </row>
    <row r="282" spans="1:43" x14ac:dyDescent="0.2">
      <c r="A282" s="144" t="s">
        <v>224</v>
      </c>
      <c r="B282" s="9" t="s">
        <v>495</v>
      </c>
      <c r="C282" s="9">
        <v>0</v>
      </c>
      <c r="D282" s="9">
        <v>0</v>
      </c>
      <c r="E282" s="9"/>
      <c r="F282" s="9">
        <v>0</v>
      </c>
      <c r="G282" s="83">
        <v>72417</v>
      </c>
      <c r="H282" s="83">
        <f t="shared" si="52"/>
        <v>72417</v>
      </c>
      <c r="I282" s="133">
        <f t="shared" si="57"/>
        <v>1</v>
      </c>
      <c r="J282" s="82">
        <v>0</v>
      </c>
      <c r="K282" s="82"/>
      <c r="L282" s="82">
        <v>11000</v>
      </c>
      <c r="M282" s="82"/>
      <c r="N282" s="82">
        <v>7104</v>
      </c>
      <c r="O282" s="82"/>
      <c r="P282" s="82">
        <v>7000</v>
      </c>
      <c r="Q282" s="82">
        <v>9800</v>
      </c>
      <c r="R282" s="82">
        <v>6034.75</v>
      </c>
      <c r="S282" s="23"/>
      <c r="T282" s="23">
        <v>12069.5</v>
      </c>
      <c r="U282" s="23">
        <v>6034.75</v>
      </c>
      <c r="V282" s="79" t="s">
        <v>704</v>
      </c>
      <c r="W282" s="82">
        <f t="shared" si="54"/>
        <v>0</v>
      </c>
      <c r="Y282" s="79"/>
      <c r="Z282" s="79"/>
      <c r="AA282" s="82">
        <v>13374</v>
      </c>
      <c r="AB282" s="82"/>
      <c r="AC282" s="82"/>
      <c r="AD282" s="23"/>
      <c r="AE282" s="7" t="s">
        <v>448</v>
      </c>
      <c r="AH282" s="23">
        <f>SUM('2020 detail'!J282:U282)+'2020 detail'!AA282+'2020 detail'!AB282</f>
        <v>55426.12</v>
      </c>
      <c r="AJ282" s="23">
        <f t="shared" si="55"/>
        <v>16990.879999999997</v>
      </c>
      <c r="AL282" t="str">
        <f t="shared" si="56"/>
        <v>Up</v>
      </c>
      <c r="AQ282" s="23">
        <v>6034.75</v>
      </c>
    </row>
    <row r="283" spans="1:43" x14ac:dyDescent="0.2">
      <c r="A283" s="144" t="s">
        <v>225</v>
      </c>
      <c r="B283" s="9" t="s">
        <v>495</v>
      </c>
      <c r="C283" s="9">
        <v>0</v>
      </c>
      <c r="D283" s="9">
        <v>0</v>
      </c>
      <c r="E283" s="9"/>
      <c r="F283" s="9">
        <v>0</v>
      </c>
      <c r="G283" s="83">
        <v>33193</v>
      </c>
      <c r="H283" s="83">
        <f t="shared" si="52"/>
        <v>4000</v>
      </c>
      <c r="I283" s="133">
        <f t="shared" si="57"/>
        <v>0.1205</v>
      </c>
      <c r="J283" s="82">
        <v>0</v>
      </c>
      <c r="K283" s="82">
        <v>4000</v>
      </c>
      <c r="L283" s="82"/>
      <c r="M283" s="82"/>
      <c r="N283" s="82"/>
      <c r="O283" s="82"/>
      <c r="P283" s="82"/>
      <c r="Q283" s="82"/>
      <c r="R283" s="82"/>
      <c r="S283" s="23"/>
      <c r="T283" s="23"/>
      <c r="U283" s="23"/>
      <c r="V283" s="79" t="s">
        <v>705</v>
      </c>
      <c r="W283" s="82">
        <f t="shared" si="54"/>
        <v>29193</v>
      </c>
      <c r="Y283" s="79"/>
      <c r="Z283" s="79"/>
      <c r="AA283" s="82">
        <v>0</v>
      </c>
      <c r="AB283" s="82"/>
      <c r="AC283" s="82"/>
      <c r="AD283" s="23"/>
      <c r="AE283" s="7" t="s">
        <v>449</v>
      </c>
      <c r="AH283" s="23">
        <f>SUM('2020 detail'!J283:U283)+'2020 detail'!AA283+'2020 detail'!AB283</f>
        <v>15000</v>
      </c>
      <c r="AJ283" s="23">
        <f t="shared" si="55"/>
        <v>-11000</v>
      </c>
      <c r="AL283" t="str">
        <f t="shared" si="56"/>
        <v>Down</v>
      </c>
    </row>
    <row r="284" spans="1:43" x14ac:dyDescent="0.2">
      <c r="A284" s="144" t="s">
        <v>226</v>
      </c>
      <c r="B284" s="9" t="s">
        <v>495</v>
      </c>
      <c r="C284" s="9" t="s">
        <v>495</v>
      </c>
      <c r="D284" s="9">
        <v>0</v>
      </c>
      <c r="E284" s="9"/>
      <c r="F284" s="9" t="s">
        <v>495</v>
      </c>
      <c r="G284" s="83">
        <v>67523</v>
      </c>
      <c r="H284" s="83">
        <f t="shared" si="52"/>
        <v>67523.01999999999</v>
      </c>
      <c r="I284" s="133">
        <f t="shared" si="57"/>
        <v>1</v>
      </c>
      <c r="J284" s="82">
        <v>0</v>
      </c>
      <c r="K284" s="82"/>
      <c r="L284" s="82"/>
      <c r="M284" s="82">
        <v>22507.66</v>
      </c>
      <c r="N284" s="82">
        <v>5626.92</v>
      </c>
      <c r="O284" s="82">
        <v>5626.92</v>
      </c>
      <c r="P284" s="82">
        <v>5626.92</v>
      </c>
      <c r="Q284" s="82">
        <v>5626.92</v>
      </c>
      <c r="R284" s="82">
        <v>5626.92</v>
      </c>
      <c r="S284" s="23">
        <v>5626.92</v>
      </c>
      <c r="T284" s="23">
        <v>5626.92</v>
      </c>
      <c r="U284" s="23">
        <v>5626.92</v>
      </c>
      <c r="V284" s="79" t="s">
        <v>706</v>
      </c>
      <c r="W284" s="82">
        <f t="shared" si="54"/>
        <v>-1.9999999989522621E-2</v>
      </c>
      <c r="Y284" s="79"/>
      <c r="Z284" s="79"/>
      <c r="AA284" s="82">
        <v>0</v>
      </c>
      <c r="AB284" s="82"/>
      <c r="AC284" s="82"/>
      <c r="AD284" s="23"/>
      <c r="AE284" s="7" t="s">
        <v>450</v>
      </c>
      <c r="AH284" s="23">
        <f>SUM('2020 detail'!J284:U284)+'2020 detail'!AA284+'2020 detail'!AB284</f>
        <v>46523.000000000015</v>
      </c>
      <c r="AJ284" s="23">
        <f t="shared" si="55"/>
        <v>21000.019999999975</v>
      </c>
      <c r="AL284" t="str">
        <f t="shared" si="56"/>
        <v>Up</v>
      </c>
      <c r="AQ284" s="23">
        <v>5626.92</v>
      </c>
    </row>
    <row r="285" spans="1:43" x14ac:dyDescent="0.2">
      <c r="A285" s="144" t="s">
        <v>227</v>
      </c>
      <c r="B285" s="9" t="s">
        <v>495</v>
      </c>
      <c r="C285" s="9" t="s">
        <v>495</v>
      </c>
      <c r="D285" s="9">
        <v>0</v>
      </c>
      <c r="E285" s="9"/>
      <c r="F285" s="9" t="s">
        <v>495</v>
      </c>
      <c r="G285" s="83">
        <v>41478</v>
      </c>
      <c r="H285" s="83">
        <f t="shared" si="52"/>
        <v>41478</v>
      </c>
      <c r="I285" s="133">
        <f t="shared" si="57"/>
        <v>1</v>
      </c>
      <c r="J285" s="82">
        <v>3456.5</v>
      </c>
      <c r="K285" s="82">
        <v>3456.5</v>
      </c>
      <c r="L285" s="82">
        <v>3456.5</v>
      </c>
      <c r="M285" s="82">
        <v>3456.5</v>
      </c>
      <c r="N285" s="82">
        <v>3456.5</v>
      </c>
      <c r="O285" s="82">
        <v>3456.5</v>
      </c>
      <c r="P285" s="82">
        <v>3456.5</v>
      </c>
      <c r="Q285" s="82">
        <v>3456.5</v>
      </c>
      <c r="R285" s="82">
        <v>3456.5</v>
      </c>
      <c r="S285" s="23">
        <v>3456.5</v>
      </c>
      <c r="T285" s="23">
        <v>3456.5</v>
      </c>
      <c r="U285" s="23">
        <v>3456.5</v>
      </c>
      <c r="V285" s="79" t="s">
        <v>707</v>
      </c>
      <c r="W285" s="82">
        <f t="shared" si="54"/>
        <v>0</v>
      </c>
      <c r="Y285" s="79"/>
      <c r="Z285" s="79"/>
      <c r="AA285" s="82">
        <v>0</v>
      </c>
      <c r="AB285" s="82"/>
      <c r="AC285" s="82"/>
      <c r="AD285" s="23"/>
      <c r="AE285" s="7" t="s">
        <v>451</v>
      </c>
      <c r="AH285" s="23">
        <f>SUM('2020 detail'!J285:U285)+'2020 detail'!AA285+'2020 detail'!AB285</f>
        <v>41477.999999999993</v>
      </c>
      <c r="AJ285" s="23">
        <f t="shared" si="55"/>
        <v>0</v>
      </c>
      <c r="AL285" t="str">
        <f t="shared" si="56"/>
        <v>Same</v>
      </c>
      <c r="AQ285" s="23">
        <v>3456.5</v>
      </c>
    </row>
    <row r="286" spans="1:43" x14ac:dyDescent="0.2">
      <c r="A286" s="144" t="s">
        <v>228</v>
      </c>
      <c r="B286" s="9" t="s">
        <v>495</v>
      </c>
      <c r="C286" s="9">
        <v>0</v>
      </c>
      <c r="D286" s="9">
        <v>0</v>
      </c>
      <c r="E286" s="9"/>
      <c r="F286" s="9" t="s">
        <v>495</v>
      </c>
      <c r="G286" s="83">
        <v>13203</v>
      </c>
      <c r="H286" s="83">
        <f t="shared" si="52"/>
        <v>13203</v>
      </c>
      <c r="I286" s="133">
        <f t="shared" si="57"/>
        <v>1</v>
      </c>
      <c r="J286" s="82">
        <v>1100.25</v>
      </c>
      <c r="K286" s="82">
        <v>1100.25</v>
      </c>
      <c r="L286" s="82">
        <v>1100.25</v>
      </c>
      <c r="M286" s="82">
        <v>1100.25</v>
      </c>
      <c r="N286" s="82">
        <v>1100.25</v>
      </c>
      <c r="O286" s="82">
        <v>1100.25</v>
      </c>
      <c r="P286" s="82">
        <v>1100.25</v>
      </c>
      <c r="Q286" s="82">
        <v>1100.25</v>
      </c>
      <c r="R286" s="82">
        <v>1100.25</v>
      </c>
      <c r="S286" s="23">
        <v>1100.25</v>
      </c>
      <c r="T286" s="23">
        <v>1100.25</v>
      </c>
      <c r="U286" s="23">
        <v>1100.25</v>
      </c>
      <c r="V286" s="79" t="s">
        <v>708</v>
      </c>
      <c r="W286" s="82">
        <f t="shared" si="54"/>
        <v>0</v>
      </c>
      <c r="Y286" s="79"/>
      <c r="Z286" s="79"/>
      <c r="AA286" s="82">
        <v>0</v>
      </c>
      <c r="AB286" s="82"/>
      <c r="AC286" s="82"/>
      <c r="AD286" s="23"/>
      <c r="AE286" s="7" t="s">
        <v>451</v>
      </c>
      <c r="AH286" s="23">
        <f>SUM('2020 detail'!J286:U286)+'2020 detail'!AA286+'2020 detail'!AB286</f>
        <v>13202.999999999996</v>
      </c>
      <c r="AJ286" s="23">
        <f t="shared" si="55"/>
        <v>0</v>
      </c>
      <c r="AL286" t="str">
        <f t="shared" si="56"/>
        <v>Same</v>
      </c>
      <c r="AQ286" s="23">
        <v>1100.25</v>
      </c>
    </row>
    <row r="287" spans="1:43" x14ac:dyDescent="0.2">
      <c r="A287" s="144" t="s">
        <v>229</v>
      </c>
      <c r="B287" s="9" t="s">
        <v>495</v>
      </c>
      <c r="C287" s="9" t="s">
        <v>495</v>
      </c>
      <c r="D287" s="9">
        <v>0</v>
      </c>
      <c r="E287" s="9"/>
      <c r="F287" s="9">
        <v>0</v>
      </c>
      <c r="G287" s="83">
        <v>155276</v>
      </c>
      <c r="H287" s="83">
        <f t="shared" si="52"/>
        <v>155296</v>
      </c>
      <c r="I287" s="133">
        <f t="shared" si="57"/>
        <v>1.0001</v>
      </c>
      <c r="J287" s="82">
        <v>12959</v>
      </c>
      <c r="K287" s="82">
        <v>12939</v>
      </c>
      <c r="L287" s="82">
        <v>12939</v>
      </c>
      <c r="M287" s="82">
        <v>12939</v>
      </c>
      <c r="N287" s="82">
        <v>12939</v>
      </c>
      <c r="O287" s="82">
        <v>12939</v>
      </c>
      <c r="P287" s="82">
        <v>12939</v>
      </c>
      <c r="Q287" s="82">
        <v>12939</v>
      </c>
      <c r="R287" s="82">
        <v>12939</v>
      </c>
      <c r="S287" s="23">
        <v>12939</v>
      </c>
      <c r="T287" s="23">
        <v>12939</v>
      </c>
      <c r="U287" s="23">
        <v>12947</v>
      </c>
      <c r="V287" s="79" t="s">
        <v>709</v>
      </c>
      <c r="W287" s="82">
        <f t="shared" si="54"/>
        <v>-20</v>
      </c>
      <c r="Y287" s="79"/>
      <c r="Z287" s="79"/>
      <c r="AA287" s="82">
        <v>0</v>
      </c>
      <c r="AB287" s="82"/>
      <c r="AC287" s="82"/>
      <c r="AD287" s="23"/>
      <c r="AE287" s="7" t="s">
        <v>447</v>
      </c>
      <c r="AH287" s="23">
        <f>SUM('2020 detail'!J287:U287)+'2020 detail'!AA287+'2020 detail'!AB287</f>
        <v>155276</v>
      </c>
      <c r="AJ287" s="23">
        <f t="shared" si="55"/>
        <v>20</v>
      </c>
      <c r="AL287" t="str">
        <f t="shared" si="56"/>
        <v>Up</v>
      </c>
      <c r="AQ287" s="23">
        <v>12947</v>
      </c>
    </row>
    <row r="288" spans="1:43" x14ac:dyDescent="0.2">
      <c r="A288" s="144" t="s">
        <v>230</v>
      </c>
      <c r="B288" s="9">
        <v>0</v>
      </c>
      <c r="C288" s="9" t="s">
        <v>495</v>
      </c>
      <c r="D288" s="9">
        <v>0</v>
      </c>
      <c r="E288" s="9"/>
      <c r="F288" s="9">
        <v>0</v>
      </c>
      <c r="G288" s="83">
        <v>1372</v>
      </c>
      <c r="H288" s="83">
        <f t="shared" si="52"/>
        <v>700</v>
      </c>
      <c r="I288" s="133">
        <f t="shared" si="57"/>
        <v>0.51019999999999999</v>
      </c>
      <c r="J288" s="82">
        <v>0</v>
      </c>
      <c r="K288" s="82"/>
      <c r="L288" s="82"/>
      <c r="M288" s="82"/>
      <c r="N288" s="82"/>
      <c r="O288" s="82"/>
      <c r="P288" s="82"/>
      <c r="Q288" s="82"/>
      <c r="R288" s="82"/>
      <c r="S288" s="23"/>
      <c r="T288" s="23"/>
      <c r="U288" s="23">
        <v>700</v>
      </c>
      <c r="V288" s="79" t="s">
        <v>710</v>
      </c>
      <c r="W288" s="82">
        <f t="shared" si="54"/>
        <v>672</v>
      </c>
      <c r="Y288" s="79"/>
      <c r="Z288" s="79"/>
      <c r="AA288" s="82">
        <v>0</v>
      </c>
      <c r="AB288" s="82"/>
      <c r="AC288" s="82"/>
      <c r="AD288" s="23"/>
      <c r="AE288" s="7" t="s">
        <v>444</v>
      </c>
      <c r="AH288" s="23">
        <f>SUM('2020 detail'!J288:U288)+'2020 detail'!AA288+'2020 detail'!AB288</f>
        <v>700</v>
      </c>
      <c r="AJ288" s="23">
        <f t="shared" si="55"/>
        <v>0</v>
      </c>
      <c r="AL288" t="str">
        <f t="shared" si="56"/>
        <v>Same</v>
      </c>
      <c r="AQ288" s="23">
        <v>700</v>
      </c>
    </row>
    <row r="289" spans="1:43" x14ac:dyDescent="0.2">
      <c r="G289" s="83"/>
      <c r="H289" s="83"/>
      <c r="I289" s="133"/>
      <c r="AJ289" s="23"/>
    </row>
    <row r="290" spans="1:43" x14ac:dyDescent="0.2">
      <c r="A290" s="235" t="s">
        <v>1056</v>
      </c>
      <c r="G290" s="83">
        <f>SUM(G265:G289)</f>
        <v>891905</v>
      </c>
      <c r="H290" s="83">
        <f>SUM(H265:H289)</f>
        <v>779971.76</v>
      </c>
      <c r="I290" s="133">
        <f t="shared" ref="I290:I291" si="58">ROUND((H290/G290),4)</f>
        <v>0.87450000000000006</v>
      </c>
      <c r="J290" s="83">
        <f>SUM(J265:J289)</f>
        <v>36371.32</v>
      </c>
      <c r="K290" s="83">
        <f t="shared" ref="K290:W290" si="59">SUM(K265:K289)</f>
        <v>40614.78</v>
      </c>
      <c r="L290" s="83">
        <f t="shared" si="59"/>
        <v>77212.679999999993</v>
      </c>
      <c r="M290" s="83">
        <f t="shared" si="59"/>
        <v>81804.539999999994</v>
      </c>
      <c r="N290" s="83">
        <f t="shared" si="59"/>
        <v>64393.549999999996</v>
      </c>
      <c r="O290" s="83">
        <f t="shared" si="59"/>
        <v>60940.17</v>
      </c>
      <c r="P290" s="83">
        <f t="shared" si="59"/>
        <v>60231.869999999995</v>
      </c>
      <c r="Q290" s="83">
        <f t="shared" si="59"/>
        <v>56531.869999999995</v>
      </c>
      <c r="R290" s="83">
        <f t="shared" si="59"/>
        <v>72517.319999999992</v>
      </c>
      <c r="S290" s="4">
        <f t="shared" si="59"/>
        <v>67661.67</v>
      </c>
      <c r="T290" s="4">
        <f t="shared" si="59"/>
        <v>70945.76999999999</v>
      </c>
      <c r="U290" s="4">
        <f t="shared" si="59"/>
        <v>70848.51999999999</v>
      </c>
      <c r="V290" s="77"/>
      <c r="W290" s="82">
        <f t="shared" si="59"/>
        <v>111933.24</v>
      </c>
      <c r="Y290" s="77"/>
      <c r="Z290" s="77"/>
      <c r="AA290" s="83">
        <f t="shared" ref="AA290:AC290" si="60">SUM(AA265:AA289)</f>
        <v>19239</v>
      </c>
      <c r="AB290" s="83">
        <f t="shared" si="60"/>
        <v>658.7</v>
      </c>
      <c r="AC290" s="83">
        <f t="shared" si="60"/>
        <v>0</v>
      </c>
      <c r="AD290" s="4"/>
      <c r="AH290" s="23">
        <f>SUM(AH265:AH289)</f>
        <v>769498.55</v>
      </c>
      <c r="AJ290" s="23">
        <f t="shared" si="55"/>
        <v>10473.209999999963</v>
      </c>
      <c r="AM290" s="11">
        <f>SUM(J290:R290)+SUM(S291:U291)+SUM('2020 detail'!AA289:AC289)</f>
        <v>717212.61999999988</v>
      </c>
      <c r="AN290" s="24">
        <f>ROUND((AM290/G290),4)</f>
        <v>0.80410000000000004</v>
      </c>
      <c r="AO290" s="24">
        <f>ROUND((SUM(J291:U291)/G291),4)</f>
        <v>0.84450000000000003</v>
      </c>
      <c r="AQ290" s="23">
        <f>SUM(AQ265:AQ289)</f>
        <v>70848.51999999999</v>
      </c>
    </row>
    <row r="291" spans="1:43" x14ac:dyDescent="0.2">
      <c r="A291" s="236" t="s">
        <v>1057</v>
      </c>
      <c r="G291" s="206">
        <f>'2020 detail'!G290</f>
        <v>891904</v>
      </c>
      <c r="H291" s="206">
        <f>SUM(J291:AC291)</f>
        <v>769498.54999999993</v>
      </c>
      <c r="I291" s="207">
        <f t="shared" si="58"/>
        <v>0.86280000000000001</v>
      </c>
      <c r="J291" s="206">
        <f>'2020 detail'!J290</f>
        <v>46464.399999999994</v>
      </c>
      <c r="K291" s="206">
        <f>'2020 detail'!K290</f>
        <v>54673.82</v>
      </c>
      <c r="L291" s="206">
        <f>'2020 detail'!L290</f>
        <v>68503.59</v>
      </c>
      <c r="M291" s="206">
        <f>'2020 detail'!M290</f>
        <v>49879.969999999994</v>
      </c>
      <c r="N291" s="206">
        <f>'2020 detail'!N290</f>
        <v>87283.389999999985</v>
      </c>
      <c r="O291" s="206">
        <f>'2020 detail'!O290</f>
        <v>63677.539999999994</v>
      </c>
      <c r="P291" s="206">
        <f>'2020 detail'!P290</f>
        <v>66712.289999999994</v>
      </c>
      <c r="Q291" s="206">
        <f>'2020 detail'!Q290</f>
        <v>71677.539999999994</v>
      </c>
      <c r="R291" s="206">
        <f>'2020 detail'!R290</f>
        <v>77724.62</v>
      </c>
      <c r="S291" s="165">
        <f>'2020 detail'!S290</f>
        <v>59187.539999999994</v>
      </c>
      <c r="T291" s="165">
        <f>'2020 detail'!T290</f>
        <v>65553.639999999985</v>
      </c>
      <c r="U291" s="165">
        <f>'2020 detail'!U290</f>
        <v>41853.339999999997</v>
      </c>
      <c r="AA291" s="165">
        <f>'2020 detail'!AA290</f>
        <v>14382.87</v>
      </c>
      <c r="AB291" s="165">
        <f>'2020 detail'!AB290</f>
        <v>1924</v>
      </c>
      <c r="AC291" s="165">
        <f>'2020 detail'!AC290</f>
        <v>0</v>
      </c>
      <c r="AJ291" s="23"/>
    </row>
    <row r="292" spans="1:43" x14ac:dyDescent="0.2">
      <c r="AJ292" s="23"/>
    </row>
    <row r="293" spans="1:43" ht="15.75" x14ac:dyDescent="0.25">
      <c r="G293" s="196" t="s">
        <v>13</v>
      </c>
      <c r="AH293" s="171" t="s">
        <v>1067</v>
      </c>
      <c r="AI293" s="172"/>
      <c r="AJ293" s="171" t="s">
        <v>1064</v>
      </c>
    </row>
    <row r="294" spans="1:43" x14ac:dyDescent="0.2">
      <c r="AH294" s="171" t="s">
        <v>1096</v>
      </c>
      <c r="AI294" s="172"/>
      <c r="AJ294" s="171" t="s">
        <v>1065</v>
      </c>
    </row>
    <row r="295" spans="1:43" ht="16.5" x14ac:dyDescent="0.25">
      <c r="A295" s="6"/>
      <c r="B295" s="8"/>
      <c r="C295" s="8"/>
      <c r="E295" s="8"/>
      <c r="F295" s="8"/>
      <c r="G295" s="208" t="str">
        <f>$G$3</f>
        <v>2021 PARISH SHARE INFORMATION AS AT 22 FEBRUARY 2022</v>
      </c>
      <c r="H295" s="209"/>
      <c r="W295" s="194"/>
      <c r="X295"/>
      <c r="Y295"/>
      <c r="Z295"/>
      <c r="AA295"/>
      <c r="AB295"/>
      <c r="AC295"/>
      <c r="AH295" s="172"/>
      <c r="AI295" s="172"/>
      <c r="AJ295" s="171" t="s">
        <v>1066</v>
      </c>
    </row>
    <row r="296" spans="1:43" x14ac:dyDescent="0.2">
      <c r="A296" s="6"/>
      <c r="G296" s="205"/>
      <c r="H296" s="197"/>
      <c r="W296" s="194"/>
      <c r="X296"/>
      <c r="Y296"/>
      <c r="Z296"/>
      <c r="AA296"/>
      <c r="AB296"/>
      <c r="AC296"/>
      <c r="AJ296" s="23"/>
    </row>
    <row r="297" spans="1:43" ht="16.5" x14ac:dyDescent="0.25">
      <c r="A297" s="204" t="s">
        <v>1</v>
      </c>
      <c r="B297" s="151" t="str">
        <f>$B$5</f>
        <v>RM</v>
      </c>
      <c r="C297" s="151" t="str">
        <f>$C$5</f>
        <v>RF</v>
      </c>
      <c r="D297" s="151" t="str">
        <f>$D$5</f>
        <v>Accts</v>
      </c>
      <c r="E297" s="151"/>
      <c r="F297" s="151" t="str">
        <f>$F$5</f>
        <v>Share DD</v>
      </c>
      <c r="G297" s="210" t="str">
        <f>$G$5</f>
        <v xml:space="preserve">2021 Share </v>
      </c>
      <c r="H297" s="211" t="str">
        <f>$H$5</f>
        <v xml:space="preserve">2021 Paid </v>
      </c>
      <c r="I297" s="211" t="str">
        <f>$I$5</f>
        <v xml:space="preserve">% Paid </v>
      </c>
      <c r="J297" s="212">
        <f>$J$5</f>
        <v>44227</v>
      </c>
      <c r="K297" s="212">
        <f>$K$5</f>
        <v>44255</v>
      </c>
      <c r="L297" s="212">
        <f>$L$5</f>
        <v>44286</v>
      </c>
      <c r="M297" s="212">
        <f>$M$5</f>
        <v>44316</v>
      </c>
      <c r="N297" s="212">
        <f>$N$5</f>
        <v>44347</v>
      </c>
      <c r="O297" s="212">
        <f>$O$5</f>
        <v>44377</v>
      </c>
      <c r="P297" s="212">
        <f>$P$5</f>
        <v>44408</v>
      </c>
      <c r="Q297" s="212">
        <f>$Q$5</f>
        <v>44439</v>
      </c>
      <c r="R297" s="212">
        <f>$R$5</f>
        <v>44469</v>
      </c>
      <c r="S297" s="155">
        <f>$S$5</f>
        <v>44500</v>
      </c>
      <c r="T297" s="155">
        <f>$T$5</f>
        <v>44530</v>
      </c>
      <c r="U297" s="155">
        <f>$U$5</f>
        <v>44561</v>
      </c>
      <c r="V297" s="78"/>
      <c r="W297" s="195" t="str">
        <f>$W$5</f>
        <v xml:space="preserve">Outstanding </v>
      </c>
      <c r="X297" s="2"/>
      <c r="Y297" s="2"/>
      <c r="Z297" s="2"/>
      <c r="AA297" s="2">
        <f>$AA$5</f>
        <v>44592</v>
      </c>
      <c r="AB297" s="2">
        <f>$AB$5</f>
        <v>44620</v>
      </c>
      <c r="AC297" s="2">
        <f>$AC$5</f>
        <v>44651</v>
      </c>
      <c r="AE297" s="152" t="str">
        <f>$AE$5</f>
        <v>Benefice</v>
      </c>
      <c r="AH297" s="16" t="s">
        <v>1062</v>
      </c>
      <c r="AJ297" s="170" t="s">
        <v>1063</v>
      </c>
      <c r="AQ297" s="222">
        <f>AQ5</f>
        <v>44588</v>
      </c>
    </row>
    <row r="298" spans="1:43" ht="16.5" x14ac:dyDescent="0.25">
      <c r="A298" s="6"/>
      <c r="G298" s="201" t="s">
        <v>1040</v>
      </c>
      <c r="H298" s="202" t="s">
        <v>1040</v>
      </c>
      <c r="I298" s="203"/>
      <c r="J298" s="202" t="s">
        <v>1040</v>
      </c>
      <c r="K298" s="202" t="s">
        <v>1040</v>
      </c>
      <c r="L298" s="202" t="s">
        <v>1040</v>
      </c>
      <c r="M298" s="202" t="s">
        <v>1040</v>
      </c>
      <c r="N298" s="202" t="s">
        <v>1040</v>
      </c>
      <c r="O298" s="202" t="s">
        <v>1040</v>
      </c>
      <c r="P298" s="202" t="s">
        <v>1040</v>
      </c>
      <c r="Q298" s="202" t="s">
        <v>1040</v>
      </c>
      <c r="R298" s="202" t="s">
        <v>1040</v>
      </c>
      <c r="S298" s="147" t="s">
        <v>1040</v>
      </c>
      <c r="T298" s="147" t="s">
        <v>1040</v>
      </c>
      <c r="U298" s="147" t="s">
        <v>1040</v>
      </c>
      <c r="W298" s="194"/>
      <c r="X298"/>
      <c r="Y298"/>
      <c r="Z298"/>
      <c r="AA298"/>
      <c r="AB298"/>
      <c r="AC298"/>
      <c r="AJ298" s="23"/>
    </row>
    <row r="299" spans="1:43" x14ac:dyDescent="0.2">
      <c r="AJ299" s="23"/>
    </row>
    <row r="300" spans="1:43" x14ac:dyDescent="0.2">
      <c r="A300" s="144" t="s">
        <v>231</v>
      </c>
      <c r="B300" s="9" t="s">
        <v>495</v>
      </c>
      <c r="C300" s="9" t="s">
        <v>495</v>
      </c>
      <c r="D300" s="9">
        <v>0</v>
      </c>
      <c r="E300" s="9"/>
      <c r="F300" s="9">
        <v>0</v>
      </c>
      <c r="G300" s="83">
        <v>12013</v>
      </c>
      <c r="H300" s="83">
        <f t="shared" ref="H300:H314" si="61">SUM(J300:U300)+SUM(AA300:AC300)</f>
        <v>3000</v>
      </c>
      <c r="I300" s="133">
        <f t="shared" ref="I300" si="62">ROUND((H300/G300),4)</f>
        <v>0.24970000000000001</v>
      </c>
      <c r="J300" s="82">
        <v>0</v>
      </c>
      <c r="K300" s="82"/>
      <c r="L300" s="82"/>
      <c r="M300" s="82"/>
      <c r="N300" s="82"/>
      <c r="O300" s="82"/>
      <c r="P300" s="82"/>
      <c r="Q300" s="82"/>
      <c r="R300" s="82">
        <v>1500</v>
      </c>
      <c r="S300" s="23"/>
      <c r="T300" s="23"/>
      <c r="U300" s="23">
        <v>1500</v>
      </c>
      <c r="V300" s="7" t="s">
        <v>711</v>
      </c>
      <c r="W300" s="82">
        <f t="shared" ref="W300:W314" si="63">G300-H300</f>
        <v>9013</v>
      </c>
      <c r="Y300" s="4"/>
      <c r="Z300" s="4"/>
      <c r="AA300" s="82">
        <v>0</v>
      </c>
      <c r="AB300" s="82"/>
      <c r="AC300" s="82"/>
      <c r="AE300" s="7" t="s">
        <v>455</v>
      </c>
      <c r="AH300" s="23">
        <f>SUM('2020 detail'!J300:U300)+'2020 detail'!AA300+'2020 detail'!AB300</f>
        <v>5500</v>
      </c>
      <c r="AJ300" s="23">
        <f t="shared" si="55"/>
        <v>-2500</v>
      </c>
      <c r="AL300" t="str">
        <f t="shared" ref="AL300:AL343" si="64">IF(AJ300&lt;0,"Down",IF(AJ300&gt;0,"Up","Same"))</f>
        <v>Down</v>
      </c>
      <c r="AQ300" s="23">
        <v>1500</v>
      </c>
    </row>
    <row r="301" spans="1:43" x14ac:dyDescent="0.2">
      <c r="A301" s="144" t="s">
        <v>232</v>
      </c>
      <c r="B301" s="9" t="s">
        <v>495</v>
      </c>
      <c r="C301" s="9">
        <v>0</v>
      </c>
      <c r="D301" s="9">
        <v>0</v>
      </c>
      <c r="E301" s="9"/>
      <c r="F301" s="9" t="s">
        <v>495</v>
      </c>
      <c r="G301" s="83">
        <v>67160</v>
      </c>
      <c r="H301" s="83">
        <f t="shared" si="61"/>
        <v>67000</v>
      </c>
      <c r="I301" s="133">
        <f t="shared" ref="I301:I314" si="65">ROUND((H301/G301),4)</f>
        <v>0.99760000000000004</v>
      </c>
      <c r="J301" s="82">
        <v>3000</v>
      </c>
      <c r="K301" s="82">
        <v>3000</v>
      </c>
      <c r="L301" s="82">
        <v>3000</v>
      </c>
      <c r="M301" s="82">
        <v>3000</v>
      </c>
      <c r="N301" s="82">
        <v>3000</v>
      </c>
      <c r="O301" s="82">
        <v>16000</v>
      </c>
      <c r="P301" s="82">
        <v>3000</v>
      </c>
      <c r="Q301" s="82">
        <v>3000</v>
      </c>
      <c r="R301" s="82">
        <v>3000</v>
      </c>
      <c r="S301" s="23">
        <v>3000</v>
      </c>
      <c r="T301" s="23">
        <v>3000</v>
      </c>
      <c r="U301" s="23">
        <v>21000</v>
      </c>
      <c r="V301" s="7" t="s">
        <v>712</v>
      </c>
      <c r="W301" s="82">
        <f t="shared" si="63"/>
        <v>160</v>
      </c>
      <c r="AA301" s="82">
        <v>0</v>
      </c>
      <c r="AB301" s="82"/>
      <c r="AC301" s="82"/>
      <c r="AE301" s="7" t="s">
        <v>452</v>
      </c>
      <c r="AH301" s="23">
        <f>SUM('2020 detail'!J301:U301)+'2020 detail'!AA301+'2020 detail'!AB301</f>
        <v>56000</v>
      </c>
      <c r="AJ301" s="23">
        <f t="shared" si="55"/>
        <v>11000</v>
      </c>
      <c r="AL301" t="str">
        <f t="shared" si="64"/>
        <v>Up</v>
      </c>
      <c r="AQ301" s="23">
        <v>21000</v>
      </c>
    </row>
    <row r="302" spans="1:43" x14ac:dyDescent="0.2">
      <c r="A302" s="144" t="s">
        <v>233</v>
      </c>
      <c r="B302" s="9" t="s">
        <v>495</v>
      </c>
      <c r="C302" s="9" t="s">
        <v>495</v>
      </c>
      <c r="D302" s="9">
        <v>0</v>
      </c>
      <c r="E302" s="9"/>
      <c r="F302" s="9" t="s">
        <v>495</v>
      </c>
      <c r="G302" s="83">
        <v>13750</v>
      </c>
      <c r="H302" s="83">
        <f t="shared" si="61"/>
        <v>13750</v>
      </c>
      <c r="I302" s="133">
        <f t="shared" si="65"/>
        <v>1</v>
      </c>
      <c r="J302" s="82">
        <v>1145.8699999999999</v>
      </c>
      <c r="K302" s="82">
        <v>1145.83</v>
      </c>
      <c r="L302" s="82">
        <v>1145.83</v>
      </c>
      <c r="M302" s="82">
        <v>1145.83</v>
      </c>
      <c r="N302" s="82">
        <v>1145.83</v>
      </c>
      <c r="O302" s="82">
        <v>1145.83</v>
      </c>
      <c r="P302" s="82">
        <v>1145.83</v>
      </c>
      <c r="Q302" s="82">
        <v>1145.83</v>
      </c>
      <c r="R302" s="82">
        <v>1145.83</v>
      </c>
      <c r="S302" s="23">
        <v>1145.83</v>
      </c>
      <c r="T302" s="23">
        <v>1145.83</v>
      </c>
      <c r="U302" s="23">
        <v>1145.83</v>
      </c>
      <c r="V302" s="7" t="s">
        <v>713</v>
      </c>
      <c r="W302" s="82">
        <f t="shared" si="63"/>
        <v>0</v>
      </c>
      <c r="AA302" s="82">
        <v>0</v>
      </c>
      <c r="AB302" s="82"/>
      <c r="AC302" s="82"/>
      <c r="AE302" s="7" t="s">
        <v>453</v>
      </c>
      <c r="AH302" s="23">
        <f>SUM('2020 detail'!J302:U302)+'2020 detail'!AA302+'2020 detail'!AB302</f>
        <v>13750.000000000002</v>
      </c>
      <c r="AJ302" s="23">
        <f t="shared" si="55"/>
        <v>0</v>
      </c>
      <c r="AL302" t="str">
        <f t="shared" si="64"/>
        <v>Same</v>
      </c>
      <c r="AQ302" s="23">
        <v>1145.83</v>
      </c>
    </row>
    <row r="303" spans="1:43" x14ac:dyDescent="0.2">
      <c r="A303" s="144" t="s">
        <v>234</v>
      </c>
      <c r="B303" s="9" t="s">
        <v>495</v>
      </c>
      <c r="C303" s="9" t="s">
        <v>495</v>
      </c>
      <c r="D303" s="9" t="s">
        <v>495</v>
      </c>
      <c r="E303" s="9"/>
      <c r="F303" s="9" t="s">
        <v>495</v>
      </c>
      <c r="G303" s="83">
        <v>9400</v>
      </c>
      <c r="H303" s="83">
        <f t="shared" si="61"/>
        <v>9400</v>
      </c>
      <c r="I303" s="133">
        <f t="shared" si="65"/>
        <v>1</v>
      </c>
      <c r="J303" s="82">
        <v>783.37</v>
      </c>
      <c r="K303" s="82">
        <v>783.33</v>
      </c>
      <c r="L303" s="82">
        <v>783.33</v>
      </c>
      <c r="M303" s="82">
        <v>783.33</v>
      </c>
      <c r="N303" s="82">
        <v>783.33</v>
      </c>
      <c r="O303" s="82">
        <v>783.33</v>
      </c>
      <c r="P303" s="82">
        <v>783.33</v>
      </c>
      <c r="Q303" s="82">
        <v>783.33</v>
      </c>
      <c r="R303" s="82">
        <v>783.33</v>
      </c>
      <c r="S303" s="23">
        <v>783.33</v>
      </c>
      <c r="T303" s="23">
        <v>783.33</v>
      </c>
      <c r="U303" s="23">
        <v>783.33</v>
      </c>
      <c r="V303" s="7" t="s">
        <v>714</v>
      </c>
      <c r="W303" s="82">
        <f t="shared" si="63"/>
        <v>0</v>
      </c>
      <c r="AA303" s="82">
        <v>0</v>
      </c>
      <c r="AB303" s="82"/>
      <c r="AC303" s="82"/>
      <c r="AE303" s="7" t="s">
        <v>453</v>
      </c>
      <c r="AH303" s="23">
        <f>SUM('2020 detail'!J303:U303)+'2020 detail'!AA303+'2020 detail'!AB303</f>
        <v>9399.9999999999982</v>
      </c>
      <c r="AJ303" s="23">
        <f t="shared" si="55"/>
        <v>0</v>
      </c>
      <c r="AL303" t="str">
        <f t="shared" si="64"/>
        <v>Same</v>
      </c>
      <c r="AQ303" s="23">
        <v>783.33</v>
      </c>
    </row>
    <row r="304" spans="1:43" x14ac:dyDescent="0.2">
      <c r="A304" s="144" t="s">
        <v>235</v>
      </c>
      <c r="B304" s="9" t="s">
        <v>495</v>
      </c>
      <c r="C304" s="9">
        <v>0</v>
      </c>
      <c r="D304" s="9" t="s">
        <v>495</v>
      </c>
      <c r="E304" s="9"/>
      <c r="F304" s="9" t="s">
        <v>495</v>
      </c>
      <c r="G304" s="83">
        <v>63734</v>
      </c>
      <c r="H304" s="83">
        <f t="shared" si="61"/>
        <v>47000</v>
      </c>
      <c r="I304" s="133">
        <f t="shared" si="65"/>
        <v>0.73740000000000006</v>
      </c>
      <c r="J304" s="82">
        <v>2000</v>
      </c>
      <c r="K304" s="82">
        <v>2000</v>
      </c>
      <c r="L304" s="82">
        <v>2000</v>
      </c>
      <c r="M304" s="82">
        <v>2500</v>
      </c>
      <c r="N304" s="82">
        <v>2500</v>
      </c>
      <c r="O304" s="82">
        <v>2500</v>
      </c>
      <c r="P304" s="82">
        <v>2500</v>
      </c>
      <c r="Q304" s="82">
        <v>2500</v>
      </c>
      <c r="R304" s="82">
        <v>2500</v>
      </c>
      <c r="S304" s="23">
        <v>2500</v>
      </c>
      <c r="T304" s="23">
        <v>2500</v>
      </c>
      <c r="U304" s="23">
        <v>2500</v>
      </c>
      <c r="V304" s="7" t="s">
        <v>715</v>
      </c>
      <c r="W304" s="82">
        <f t="shared" si="63"/>
        <v>16734</v>
      </c>
      <c r="AA304" s="82">
        <v>0</v>
      </c>
      <c r="AB304" s="82">
        <v>18500</v>
      </c>
      <c r="AC304" s="82"/>
      <c r="AE304" s="7" t="s">
        <v>454</v>
      </c>
      <c r="AH304" s="23">
        <f>SUM('2020 detail'!J304:U304)+'2020 detail'!AA304+'2020 detail'!AB304</f>
        <v>24000</v>
      </c>
      <c r="AJ304" s="23">
        <f t="shared" si="55"/>
        <v>23000</v>
      </c>
      <c r="AL304" t="str">
        <f t="shared" si="64"/>
        <v>Up</v>
      </c>
      <c r="AQ304" s="23">
        <v>2500</v>
      </c>
    </row>
    <row r="305" spans="1:44" x14ac:dyDescent="0.2">
      <c r="A305" s="144" t="s">
        <v>236</v>
      </c>
      <c r="B305" s="9" t="s">
        <v>495</v>
      </c>
      <c r="C305" s="9" t="s">
        <v>495</v>
      </c>
      <c r="D305" s="9" t="s">
        <v>495</v>
      </c>
      <c r="E305" s="9"/>
      <c r="F305" s="9" t="s">
        <v>495</v>
      </c>
      <c r="G305" s="83">
        <v>18503</v>
      </c>
      <c r="H305" s="83">
        <f t="shared" si="61"/>
        <v>18503.000000000004</v>
      </c>
      <c r="I305" s="133">
        <f t="shared" si="65"/>
        <v>1</v>
      </c>
      <c r="J305" s="82">
        <v>1541.47</v>
      </c>
      <c r="K305" s="82">
        <v>1542.03</v>
      </c>
      <c r="L305" s="82">
        <v>1541.95</v>
      </c>
      <c r="M305" s="82">
        <v>1541.95</v>
      </c>
      <c r="N305" s="82">
        <v>1541.95</v>
      </c>
      <c r="O305" s="82">
        <v>1541.95</v>
      </c>
      <c r="P305" s="82">
        <v>1541.95</v>
      </c>
      <c r="Q305" s="82">
        <v>1541.95</v>
      </c>
      <c r="R305" s="82">
        <v>1541.95</v>
      </c>
      <c r="S305" s="23">
        <v>1541.95</v>
      </c>
      <c r="T305" s="23">
        <v>1541.95</v>
      </c>
      <c r="U305" s="23">
        <v>1541.95</v>
      </c>
      <c r="V305" s="7" t="s">
        <v>716</v>
      </c>
      <c r="W305" s="82">
        <f t="shared" si="63"/>
        <v>0</v>
      </c>
      <c r="AA305" s="82">
        <v>0</v>
      </c>
      <c r="AB305" s="82"/>
      <c r="AC305" s="82"/>
      <c r="AE305" s="7" t="s">
        <v>454</v>
      </c>
      <c r="AH305" s="23">
        <f>SUM('2020 detail'!J305:U305)+'2020 detail'!AA305+'2020 detail'!AB305</f>
        <v>18503</v>
      </c>
      <c r="AJ305" s="23">
        <f t="shared" si="55"/>
        <v>0</v>
      </c>
      <c r="AL305" t="str">
        <f t="shared" si="64"/>
        <v>Same</v>
      </c>
      <c r="AQ305" s="23">
        <v>1541.95</v>
      </c>
    </row>
    <row r="306" spans="1:44" x14ac:dyDescent="0.2">
      <c r="A306" s="144" t="s">
        <v>237</v>
      </c>
      <c r="B306" s="9" t="s">
        <v>495</v>
      </c>
      <c r="C306" s="9" t="s">
        <v>495</v>
      </c>
      <c r="D306" s="9" t="s">
        <v>495</v>
      </c>
      <c r="E306" s="9"/>
      <c r="F306" s="9">
        <v>0</v>
      </c>
      <c r="G306" s="83">
        <v>46700</v>
      </c>
      <c r="H306" s="83">
        <f t="shared" si="61"/>
        <v>26000</v>
      </c>
      <c r="I306" s="133">
        <f t="shared" si="65"/>
        <v>0.55669999999999997</v>
      </c>
      <c r="J306" s="82">
        <v>2000</v>
      </c>
      <c r="K306" s="82">
        <v>2000</v>
      </c>
      <c r="L306" s="82">
        <v>1700</v>
      </c>
      <c r="M306" s="82"/>
      <c r="N306" s="82"/>
      <c r="O306" s="82"/>
      <c r="P306" s="82"/>
      <c r="Q306" s="82"/>
      <c r="R306" s="82">
        <v>7500</v>
      </c>
      <c r="S306" s="23">
        <v>5000</v>
      </c>
      <c r="T306" s="23">
        <v>3500</v>
      </c>
      <c r="U306" s="23">
        <v>4300</v>
      </c>
      <c r="V306" s="7" t="s">
        <v>717</v>
      </c>
      <c r="W306" s="82">
        <f t="shared" si="63"/>
        <v>20700</v>
      </c>
      <c r="AA306" s="82">
        <v>0</v>
      </c>
      <c r="AB306" s="82"/>
      <c r="AC306" s="82"/>
      <c r="AE306" s="7" t="s">
        <v>453</v>
      </c>
      <c r="AH306" s="23">
        <f>SUM('2020 detail'!J306:U306)+'2020 detail'!AA306+'2020 detail'!AB306</f>
        <v>22990</v>
      </c>
      <c r="AJ306" s="23">
        <f t="shared" si="55"/>
        <v>3010</v>
      </c>
      <c r="AL306" t="str">
        <f t="shared" si="64"/>
        <v>Up</v>
      </c>
      <c r="AQ306" s="23">
        <v>4300</v>
      </c>
    </row>
    <row r="307" spans="1:44" x14ac:dyDescent="0.2">
      <c r="A307" s="144" t="s">
        <v>238</v>
      </c>
      <c r="B307" s="9" t="s">
        <v>495</v>
      </c>
      <c r="C307" s="9" t="s">
        <v>495</v>
      </c>
      <c r="D307" s="9" t="s">
        <v>495</v>
      </c>
      <c r="E307" s="9"/>
      <c r="F307" s="9">
        <v>0</v>
      </c>
      <c r="G307" s="83">
        <v>23235</v>
      </c>
      <c r="H307" s="83">
        <f t="shared" si="61"/>
        <v>7000</v>
      </c>
      <c r="I307" s="133">
        <f t="shared" si="65"/>
        <v>0.30130000000000001</v>
      </c>
      <c r="J307" s="82">
        <v>500</v>
      </c>
      <c r="K307" s="82">
        <v>500</v>
      </c>
      <c r="L307" s="82">
        <v>1500</v>
      </c>
      <c r="M307" s="82">
        <v>500</v>
      </c>
      <c r="N307" s="82">
        <v>500</v>
      </c>
      <c r="O307" s="82">
        <v>500</v>
      </c>
      <c r="P307" s="82">
        <v>500</v>
      </c>
      <c r="Q307" s="82"/>
      <c r="R307" s="82"/>
      <c r="S307" s="23"/>
      <c r="T307" s="23"/>
      <c r="U307" s="23"/>
      <c r="V307" s="7" t="s">
        <v>718</v>
      </c>
      <c r="W307" s="82">
        <f t="shared" si="63"/>
        <v>16235</v>
      </c>
      <c r="AA307" s="82">
        <v>2500</v>
      </c>
      <c r="AB307" s="82"/>
      <c r="AC307" s="82"/>
      <c r="AE307" s="7" t="s">
        <v>455</v>
      </c>
      <c r="AH307" s="23">
        <f>SUM('2020 detail'!J307:U307)+'2020 detail'!AA307+'2020 detail'!AB307</f>
        <v>8600</v>
      </c>
      <c r="AJ307" s="23">
        <f t="shared" si="55"/>
        <v>-1600</v>
      </c>
      <c r="AL307" t="str">
        <f t="shared" si="64"/>
        <v>Down</v>
      </c>
    </row>
    <row r="308" spans="1:44" x14ac:dyDescent="0.2">
      <c r="A308" s="144" t="s">
        <v>239</v>
      </c>
      <c r="B308" s="9" t="s">
        <v>495</v>
      </c>
      <c r="C308" s="9" t="s">
        <v>495</v>
      </c>
      <c r="D308" s="9" t="s">
        <v>495</v>
      </c>
      <c r="E308" s="9"/>
      <c r="F308" s="9" t="s">
        <v>495</v>
      </c>
      <c r="G308" s="83">
        <v>82673</v>
      </c>
      <c r="H308" s="83">
        <f t="shared" si="61"/>
        <v>82673.000000000015</v>
      </c>
      <c r="I308" s="133">
        <f t="shared" si="65"/>
        <v>1</v>
      </c>
      <c r="J308" s="82">
        <v>6889.49</v>
      </c>
      <c r="K308" s="82">
        <v>6889.41</v>
      </c>
      <c r="L308" s="82">
        <v>6889.41</v>
      </c>
      <c r="M308" s="82">
        <v>6889.41</v>
      </c>
      <c r="N308" s="82">
        <v>6889.41</v>
      </c>
      <c r="O308" s="82">
        <v>6889.41</v>
      </c>
      <c r="P308" s="82">
        <v>6889.41</v>
      </c>
      <c r="Q308" s="82">
        <v>6889.41</v>
      </c>
      <c r="R308" s="82">
        <v>6889.41</v>
      </c>
      <c r="S308" s="23">
        <v>6889.41</v>
      </c>
      <c r="T308" s="23">
        <v>6889.41</v>
      </c>
      <c r="U308" s="23">
        <v>6889.41</v>
      </c>
      <c r="V308" s="7" t="s">
        <v>719</v>
      </c>
      <c r="W308" s="82">
        <f t="shared" si="63"/>
        <v>0</v>
      </c>
      <c r="AA308" s="82">
        <v>0</v>
      </c>
      <c r="AB308" s="82"/>
      <c r="AC308" s="82"/>
      <c r="AE308" s="7" t="s">
        <v>456</v>
      </c>
      <c r="AH308" s="23">
        <f>SUM('2020 detail'!J308:U308)+'2020 detail'!AA308+'2020 detail'!AB308</f>
        <v>82673.000000000015</v>
      </c>
      <c r="AJ308" s="23">
        <f t="shared" si="55"/>
        <v>0</v>
      </c>
      <c r="AL308" t="str">
        <f t="shared" si="64"/>
        <v>Same</v>
      </c>
      <c r="AQ308" s="23">
        <v>6889.41</v>
      </c>
    </row>
    <row r="309" spans="1:44" x14ac:dyDescent="0.2">
      <c r="A309" s="144" t="s">
        <v>240</v>
      </c>
      <c r="B309" s="9" t="s">
        <v>495</v>
      </c>
      <c r="C309" s="9">
        <v>0</v>
      </c>
      <c r="D309" s="9">
        <v>0</v>
      </c>
      <c r="E309" s="9"/>
      <c r="F309" s="9" t="s">
        <v>495</v>
      </c>
      <c r="G309" s="83">
        <v>70068</v>
      </c>
      <c r="H309" s="83">
        <f t="shared" si="61"/>
        <v>70068</v>
      </c>
      <c r="I309" s="133">
        <f t="shared" si="65"/>
        <v>1</v>
      </c>
      <c r="J309" s="82">
        <v>5839</v>
      </c>
      <c r="K309" s="82">
        <v>5839</v>
      </c>
      <c r="L309" s="82">
        <v>5839</v>
      </c>
      <c r="M309" s="82">
        <v>5839</v>
      </c>
      <c r="N309" s="82">
        <v>5839</v>
      </c>
      <c r="O309" s="82">
        <v>5839</v>
      </c>
      <c r="P309" s="82">
        <v>5839</v>
      </c>
      <c r="Q309" s="82">
        <v>5839</v>
      </c>
      <c r="R309" s="82">
        <v>5839</v>
      </c>
      <c r="S309" s="23">
        <v>5839</v>
      </c>
      <c r="T309" s="23">
        <v>5839</v>
      </c>
      <c r="U309" s="23">
        <v>5839</v>
      </c>
      <c r="V309" s="7" t="s">
        <v>720</v>
      </c>
      <c r="W309" s="82">
        <f t="shared" si="63"/>
        <v>0</v>
      </c>
      <c r="AA309" s="82">
        <v>0</v>
      </c>
      <c r="AB309" s="82"/>
      <c r="AC309" s="82"/>
      <c r="AE309" s="7" t="s">
        <v>458</v>
      </c>
      <c r="AH309" s="23">
        <f>SUM('2020 detail'!J309:U309)+'2020 detail'!AA309+'2020 detail'!AB309</f>
        <v>70068</v>
      </c>
      <c r="AJ309" s="23">
        <f t="shared" si="55"/>
        <v>0</v>
      </c>
      <c r="AL309" t="str">
        <f t="shared" si="64"/>
        <v>Same</v>
      </c>
      <c r="AQ309" s="23">
        <v>5839</v>
      </c>
    </row>
    <row r="310" spans="1:44" x14ac:dyDescent="0.2">
      <c r="A310" s="144" t="s">
        <v>241</v>
      </c>
      <c r="B310" s="9" t="s">
        <v>495</v>
      </c>
      <c r="C310" s="9" t="s">
        <v>495</v>
      </c>
      <c r="D310" s="9">
        <v>0</v>
      </c>
      <c r="E310" s="9"/>
      <c r="F310" s="9">
        <v>0</v>
      </c>
      <c r="G310" s="83">
        <v>6442</v>
      </c>
      <c r="H310" s="83">
        <f t="shared" si="61"/>
        <v>6442</v>
      </c>
      <c r="I310" s="133">
        <f t="shared" si="65"/>
        <v>1</v>
      </c>
      <c r="J310" s="82">
        <v>0</v>
      </c>
      <c r="K310" s="82">
        <v>1073.7</v>
      </c>
      <c r="L310" s="82">
        <v>536.83000000000004</v>
      </c>
      <c r="M310" s="82">
        <v>536.83000000000004</v>
      </c>
      <c r="N310" s="82">
        <v>536.83000000000004</v>
      </c>
      <c r="O310" s="82">
        <v>536.83000000000004</v>
      </c>
      <c r="P310" s="82">
        <v>536.83000000000004</v>
      </c>
      <c r="Q310" s="82">
        <v>536.83000000000004</v>
      </c>
      <c r="R310" s="82">
        <v>536.83000000000004</v>
      </c>
      <c r="S310" s="23">
        <v>536.83000000000004</v>
      </c>
      <c r="T310" s="23">
        <v>536.83000000000004</v>
      </c>
      <c r="U310" s="23">
        <v>536.83000000000004</v>
      </c>
      <c r="V310" s="7" t="s">
        <v>721</v>
      </c>
      <c r="W310" s="82">
        <f t="shared" si="63"/>
        <v>0</v>
      </c>
      <c r="AA310" s="82">
        <v>0</v>
      </c>
      <c r="AB310" s="82"/>
      <c r="AC310" s="82"/>
      <c r="AE310" s="7" t="s">
        <v>456</v>
      </c>
      <c r="AH310" s="23">
        <f>SUM('2020 detail'!J310:U310)+'2020 detail'!AA310+'2020 detail'!AB310</f>
        <v>6442</v>
      </c>
      <c r="AJ310" s="23">
        <f t="shared" si="55"/>
        <v>0</v>
      </c>
      <c r="AL310" t="str">
        <f t="shared" si="64"/>
        <v>Same</v>
      </c>
      <c r="AQ310" s="23">
        <v>536.83000000000004</v>
      </c>
      <c r="AR310">
        <v>-536.83000000000004</v>
      </c>
    </row>
    <row r="311" spans="1:44" x14ac:dyDescent="0.2">
      <c r="A311" s="144" t="s">
        <v>242</v>
      </c>
      <c r="B311" s="9" t="s">
        <v>495</v>
      </c>
      <c r="C311" s="9" t="s">
        <v>495</v>
      </c>
      <c r="D311" s="9">
        <v>0</v>
      </c>
      <c r="E311" s="9"/>
      <c r="F311" s="9" t="s">
        <v>495</v>
      </c>
      <c r="G311" s="83">
        <v>17823</v>
      </c>
      <c r="H311" s="83">
        <f t="shared" si="61"/>
        <v>11500</v>
      </c>
      <c r="I311" s="133">
        <f t="shared" si="65"/>
        <v>0.6452</v>
      </c>
      <c r="J311" s="82">
        <v>300</v>
      </c>
      <c r="K311" s="82">
        <v>300</v>
      </c>
      <c r="L311" s="82">
        <v>300</v>
      </c>
      <c r="M311" s="82">
        <v>300</v>
      </c>
      <c r="N311" s="82">
        <v>300</v>
      </c>
      <c r="O311" s="82">
        <v>300</v>
      </c>
      <c r="P311" s="82">
        <v>300</v>
      </c>
      <c r="Q311" s="82">
        <v>300</v>
      </c>
      <c r="R311" s="82">
        <v>2300</v>
      </c>
      <c r="S311" s="23">
        <v>300</v>
      </c>
      <c r="T311" s="23">
        <v>300</v>
      </c>
      <c r="U311" s="23">
        <v>3300</v>
      </c>
      <c r="V311" s="7" t="s">
        <v>722</v>
      </c>
      <c r="W311" s="82">
        <f t="shared" si="63"/>
        <v>6323</v>
      </c>
      <c r="AA311" s="82">
        <v>2900</v>
      </c>
      <c r="AB311" s="82"/>
      <c r="AC311" s="82"/>
      <c r="AE311" s="7" t="s">
        <v>455</v>
      </c>
      <c r="AH311" s="23">
        <f>SUM('2020 detail'!J311:U311)+'2020 detail'!AA311+'2020 detail'!AB311</f>
        <v>11000</v>
      </c>
      <c r="AJ311" s="23">
        <f t="shared" si="55"/>
        <v>500</v>
      </c>
      <c r="AL311" t="str">
        <f t="shared" si="64"/>
        <v>Up</v>
      </c>
      <c r="AQ311" s="23">
        <v>3300</v>
      </c>
    </row>
    <row r="312" spans="1:44" x14ac:dyDescent="0.2">
      <c r="A312" s="144" t="s">
        <v>243</v>
      </c>
      <c r="B312" s="9" t="s">
        <v>495</v>
      </c>
      <c r="C312" s="9" t="s">
        <v>495</v>
      </c>
      <c r="D312" s="9">
        <v>0</v>
      </c>
      <c r="E312" s="9"/>
      <c r="F312" s="9">
        <v>0</v>
      </c>
      <c r="G312" s="83">
        <v>14695</v>
      </c>
      <c r="H312" s="83">
        <f t="shared" si="61"/>
        <v>14695</v>
      </c>
      <c r="I312" s="133">
        <f t="shared" si="65"/>
        <v>1</v>
      </c>
      <c r="J312" s="82">
        <v>0</v>
      </c>
      <c r="K312" s="82"/>
      <c r="L312" s="82"/>
      <c r="M312" s="82"/>
      <c r="N312" s="82"/>
      <c r="O312" s="82"/>
      <c r="P312" s="82"/>
      <c r="Q312" s="82"/>
      <c r="R312" s="82"/>
      <c r="S312" s="23"/>
      <c r="T312" s="23">
        <v>14695</v>
      </c>
      <c r="U312" s="23"/>
      <c r="V312" s="7" t="s">
        <v>723</v>
      </c>
      <c r="W312" s="82">
        <f t="shared" si="63"/>
        <v>0</v>
      </c>
      <c r="AA312" s="82">
        <v>0</v>
      </c>
      <c r="AB312" s="82"/>
      <c r="AC312" s="82"/>
      <c r="AE312" s="7" t="s">
        <v>455</v>
      </c>
      <c r="AH312" s="23">
        <f>SUM('2020 detail'!J312:U312)+'2020 detail'!AA312+'2020 detail'!AB312</f>
        <v>14695</v>
      </c>
      <c r="AJ312" s="23">
        <f t="shared" si="55"/>
        <v>0</v>
      </c>
      <c r="AL312" t="str">
        <f t="shared" si="64"/>
        <v>Same</v>
      </c>
    </row>
    <row r="313" spans="1:44" x14ac:dyDescent="0.2">
      <c r="A313" s="144" t="s">
        <v>244</v>
      </c>
      <c r="B313" s="9" t="s">
        <v>495</v>
      </c>
      <c r="C313" s="9" t="s">
        <v>495</v>
      </c>
      <c r="D313" s="9" t="s">
        <v>495</v>
      </c>
      <c r="E313" s="9"/>
      <c r="F313" s="9">
        <v>0</v>
      </c>
      <c r="G313" s="83">
        <v>13200</v>
      </c>
      <c r="H313" s="83">
        <f t="shared" si="61"/>
        <v>13200</v>
      </c>
      <c r="I313" s="133">
        <f t="shared" si="65"/>
        <v>1</v>
      </c>
      <c r="J313" s="82">
        <v>0</v>
      </c>
      <c r="K313" s="82"/>
      <c r="L313" s="82"/>
      <c r="M313" s="82"/>
      <c r="N313" s="82"/>
      <c r="O313" s="82">
        <v>7200</v>
      </c>
      <c r="P313" s="82"/>
      <c r="Q313" s="82"/>
      <c r="R313" s="82"/>
      <c r="S313" s="23"/>
      <c r="T313" s="23"/>
      <c r="U313" s="23">
        <v>6000</v>
      </c>
      <c r="V313" s="7" t="s">
        <v>724</v>
      </c>
      <c r="W313" s="82">
        <f t="shared" si="63"/>
        <v>0</v>
      </c>
      <c r="AA313" s="82">
        <v>0</v>
      </c>
      <c r="AB313" s="82"/>
      <c r="AC313" s="82"/>
      <c r="AE313" s="7" t="s">
        <v>453</v>
      </c>
      <c r="AH313" s="23">
        <f>SUM('2020 detail'!J313:U313)+'2020 detail'!AA313+'2020 detail'!AB313</f>
        <v>13200</v>
      </c>
      <c r="AJ313" s="23">
        <f t="shared" si="55"/>
        <v>0</v>
      </c>
      <c r="AL313" t="str">
        <f t="shared" si="64"/>
        <v>Same</v>
      </c>
      <c r="AQ313" s="23">
        <v>6000</v>
      </c>
    </row>
    <row r="314" spans="1:44" x14ac:dyDescent="0.2">
      <c r="A314" s="144" t="s">
        <v>245</v>
      </c>
      <c r="B314" s="9" t="s">
        <v>495</v>
      </c>
      <c r="C314" s="9" t="s">
        <v>495</v>
      </c>
      <c r="D314" s="9" t="s">
        <v>495</v>
      </c>
      <c r="E314" s="9"/>
      <c r="F314" s="9">
        <v>0</v>
      </c>
      <c r="G314" s="83">
        <v>59145</v>
      </c>
      <c r="H314" s="83">
        <f t="shared" si="61"/>
        <v>59145</v>
      </c>
      <c r="I314" s="133">
        <f t="shared" si="65"/>
        <v>1</v>
      </c>
      <c r="J314" s="82">
        <v>2000</v>
      </c>
      <c r="K314" s="82">
        <v>2000</v>
      </c>
      <c r="L314" s="82">
        <v>2000</v>
      </c>
      <c r="M314" s="82">
        <v>2000</v>
      </c>
      <c r="N314" s="82">
        <v>2000</v>
      </c>
      <c r="O314" s="82">
        <v>2000</v>
      </c>
      <c r="P314" s="82">
        <v>2000</v>
      </c>
      <c r="Q314" s="82">
        <v>7000</v>
      </c>
      <c r="R314" s="82">
        <v>2000</v>
      </c>
      <c r="S314" s="23">
        <v>2340</v>
      </c>
      <c r="T314" s="23">
        <v>5000</v>
      </c>
      <c r="U314" s="23">
        <v>28805</v>
      </c>
      <c r="V314" s="7" t="s">
        <v>725</v>
      </c>
      <c r="W314" s="82">
        <f t="shared" si="63"/>
        <v>0</v>
      </c>
      <c r="AA314" s="82">
        <v>0</v>
      </c>
      <c r="AB314" s="82"/>
      <c r="AC314" s="82"/>
      <c r="AE314" s="7" t="s">
        <v>457</v>
      </c>
      <c r="AH314" s="23">
        <f>SUM('2020 detail'!J314:U314)+'2020 detail'!AA314+'2020 detail'!AB314</f>
        <v>59145</v>
      </c>
      <c r="AJ314" s="23">
        <f t="shared" si="55"/>
        <v>0</v>
      </c>
      <c r="AL314" t="str">
        <f t="shared" si="64"/>
        <v>Same</v>
      </c>
      <c r="AQ314" s="23">
        <v>28805</v>
      </c>
    </row>
    <row r="315" spans="1:44" x14ac:dyDescent="0.2">
      <c r="G315" s="83"/>
      <c r="H315" s="83"/>
      <c r="I315" s="133"/>
      <c r="AJ315" s="23"/>
    </row>
    <row r="316" spans="1:44" x14ac:dyDescent="0.2">
      <c r="A316" s="235" t="s">
        <v>1056</v>
      </c>
      <c r="G316" s="83">
        <f>SUM(G300:G315)</f>
        <v>518541</v>
      </c>
      <c r="H316" s="83">
        <f>SUM(H300:H315)</f>
        <v>449376</v>
      </c>
      <c r="I316" s="133">
        <f t="shared" ref="I316:I317" si="66">ROUND((H316/G316),4)</f>
        <v>0.86660000000000004</v>
      </c>
      <c r="J316" s="83">
        <f>SUM(J300:J315)</f>
        <v>25999.199999999997</v>
      </c>
      <c r="K316" s="83">
        <f t="shared" ref="K316:W316" si="67">SUM(K300:K315)</f>
        <v>27073.3</v>
      </c>
      <c r="L316" s="83">
        <f t="shared" si="67"/>
        <v>27236.350000000002</v>
      </c>
      <c r="M316" s="83">
        <f t="shared" si="67"/>
        <v>25036.350000000002</v>
      </c>
      <c r="N316" s="83">
        <f t="shared" si="67"/>
        <v>25036.350000000002</v>
      </c>
      <c r="O316" s="83">
        <f t="shared" si="67"/>
        <v>45236.350000000006</v>
      </c>
      <c r="P316" s="83">
        <f t="shared" si="67"/>
        <v>25036.350000000002</v>
      </c>
      <c r="Q316" s="83">
        <f t="shared" si="67"/>
        <v>29536.350000000002</v>
      </c>
      <c r="R316" s="83">
        <f t="shared" si="67"/>
        <v>35536.350000000006</v>
      </c>
      <c r="S316" s="4">
        <f t="shared" si="67"/>
        <v>29876.350000000002</v>
      </c>
      <c r="T316" s="4">
        <f t="shared" si="67"/>
        <v>45731.350000000006</v>
      </c>
      <c r="U316" s="4">
        <f t="shared" si="67"/>
        <v>84141.35</v>
      </c>
      <c r="V316" s="77"/>
      <c r="W316" s="82">
        <f t="shared" si="67"/>
        <v>69165</v>
      </c>
      <c r="Y316" s="77"/>
      <c r="Z316" s="77"/>
      <c r="AA316" s="83">
        <f t="shared" ref="AA316:AC316" si="68">SUM(AA300:AA315)</f>
        <v>5400</v>
      </c>
      <c r="AB316" s="83">
        <f t="shared" si="68"/>
        <v>18500</v>
      </c>
      <c r="AC316" s="83">
        <f t="shared" si="68"/>
        <v>0</v>
      </c>
      <c r="AD316" s="4"/>
      <c r="AH316" s="23">
        <f>SUM(AH300:AH315)</f>
        <v>415966</v>
      </c>
      <c r="AJ316" s="23">
        <f t="shared" si="55"/>
        <v>33410</v>
      </c>
      <c r="AM316" s="11">
        <f>SUM(J316:R316)+SUM(S317:U317)+SUM('2020 detail'!AA315:AC315)</f>
        <v>419655.59000000008</v>
      </c>
      <c r="AN316" s="24">
        <f>ROUND((AM316/G316),4)</f>
        <v>0.80930000000000002</v>
      </c>
      <c r="AO316" s="24">
        <f>ROUND((SUM(J317:U317)/G317),4)</f>
        <v>0.76359999999999995</v>
      </c>
      <c r="AQ316" s="23">
        <f>SUM(AQ300:AQ315)</f>
        <v>84141.35</v>
      </c>
      <c r="AR316">
        <v>-536.83000000000004</v>
      </c>
    </row>
    <row r="317" spans="1:44" x14ac:dyDescent="0.2">
      <c r="A317" s="236" t="s">
        <v>1057</v>
      </c>
      <c r="G317" s="206">
        <f>'2020 detail'!G316</f>
        <v>518541</v>
      </c>
      <c r="H317" s="206">
        <f>SUM(J317:AC317)</f>
        <v>415966.00000000006</v>
      </c>
      <c r="I317" s="207">
        <f t="shared" si="66"/>
        <v>0.80220000000000002</v>
      </c>
      <c r="J317" s="206">
        <f>'2020 detail'!J316</f>
        <v>23904.550000000003</v>
      </c>
      <c r="K317" s="206">
        <f>'2020 detail'!K316</f>
        <v>24244.65</v>
      </c>
      <c r="L317" s="206">
        <f>'2020 detail'!L316</f>
        <v>26044.48</v>
      </c>
      <c r="M317" s="206">
        <f>'2020 detail'!M316</f>
        <v>34044.479999999996</v>
      </c>
      <c r="N317" s="206">
        <f>'2020 detail'!N316</f>
        <v>23994.48</v>
      </c>
      <c r="O317" s="206">
        <f>'2020 detail'!O316</f>
        <v>25594.48</v>
      </c>
      <c r="P317" s="206">
        <f>'2020 detail'!P316</f>
        <v>26544.48</v>
      </c>
      <c r="Q317" s="206">
        <f>'2020 detail'!Q316</f>
        <v>28332.880000000001</v>
      </c>
      <c r="R317" s="206">
        <f>'2020 detail'!R316</f>
        <v>29332.880000000001</v>
      </c>
      <c r="S317" s="165">
        <f>'2020 detail'!S316</f>
        <v>46027.880000000005</v>
      </c>
      <c r="T317" s="165">
        <f>'2020 detail'!T316</f>
        <v>36932.879999999997</v>
      </c>
      <c r="U317" s="165">
        <f>'2020 detail'!U316</f>
        <v>70967.88</v>
      </c>
      <c r="AA317" s="165">
        <f>'2020 detail'!AA316</f>
        <v>20000</v>
      </c>
      <c r="AB317" s="165">
        <f>'2020 detail'!AB316</f>
        <v>0</v>
      </c>
      <c r="AC317" s="165">
        <f>'2020 detail'!AC316</f>
        <v>0</v>
      </c>
      <c r="AJ317" s="23"/>
    </row>
    <row r="318" spans="1:44" x14ac:dyDescent="0.2">
      <c r="AJ318" s="23"/>
    </row>
    <row r="319" spans="1:44" ht="15.75" x14ac:dyDescent="0.25">
      <c r="G319" s="196" t="s">
        <v>14</v>
      </c>
      <c r="AH319" s="171" t="s">
        <v>1067</v>
      </c>
      <c r="AI319" s="172"/>
      <c r="AJ319" s="171" t="s">
        <v>1064</v>
      </c>
    </row>
    <row r="320" spans="1:44" x14ac:dyDescent="0.2">
      <c r="AH320" s="171" t="s">
        <v>1096</v>
      </c>
      <c r="AI320" s="172"/>
      <c r="AJ320" s="171" t="s">
        <v>1065</v>
      </c>
    </row>
    <row r="321" spans="1:43" ht="16.5" x14ac:dyDescent="0.25">
      <c r="A321" s="6"/>
      <c r="B321" s="8"/>
      <c r="C321" s="8"/>
      <c r="E321" s="8"/>
      <c r="F321" s="8"/>
      <c r="G321" s="208" t="str">
        <f>$G$3</f>
        <v>2021 PARISH SHARE INFORMATION AS AT 22 FEBRUARY 2022</v>
      </c>
      <c r="H321" s="209"/>
      <c r="W321" s="194"/>
      <c r="X321"/>
      <c r="Y321"/>
      <c r="Z321"/>
      <c r="AA321"/>
      <c r="AB321"/>
      <c r="AC321"/>
      <c r="AH321" s="172"/>
      <c r="AI321" s="172"/>
      <c r="AJ321" s="171" t="s">
        <v>1066</v>
      </c>
    </row>
    <row r="322" spans="1:43" x14ac:dyDescent="0.2">
      <c r="A322" s="6"/>
      <c r="G322" s="205"/>
      <c r="H322" s="197"/>
      <c r="W322" s="194"/>
      <c r="X322"/>
      <c r="Y322"/>
      <c r="Z322"/>
      <c r="AA322"/>
      <c r="AB322"/>
      <c r="AC322"/>
      <c r="AJ322" s="23"/>
    </row>
    <row r="323" spans="1:43" ht="16.5" x14ac:dyDescent="0.25">
      <c r="A323" s="204" t="s">
        <v>1</v>
      </c>
      <c r="B323" s="151" t="str">
        <f>$B$5</f>
        <v>RM</v>
      </c>
      <c r="C323" s="151" t="str">
        <f>$C$5</f>
        <v>RF</v>
      </c>
      <c r="D323" s="151" t="str">
        <f>$D$5</f>
        <v>Accts</v>
      </c>
      <c r="E323" s="151"/>
      <c r="F323" s="151" t="str">
        <f>$F$5</f>
        <v>Share DD</v>
      </c>
      <c r="G323" s="210" t="str">
        <f>$G$5</f>
        <v xml:space="preserve">2021 Share </v>
      </c>
      <c r="H323" s="211" t="str">
        <f>$H$5</f>
        <v xml:space="preserve">2021 Paid </v>
      </c>
      <c r="I323" s="211" t="str">
        <f>$I$5</f>
        <v xml:space="preserve">% Paid </v>
      </c>
      <c r="J323" s="212">
        <f>$J$5</f>
        <v>44227</v>
      </c>
      <c r="K323" s="212">
        <f>$K$5</f>
        <v>44255</v>
      </c>
      <c r="L323" s="212">
        <f>$L$5</f>
        <v>44286</v>
      </c>
      <c r="M323" s="212">
        <f>$M$5</f>
        <v>44316</v>
      </c>
      <c r="N323" s="212">
        <f>$N$5</f>
        <v>44347</v>
      </c>
      <c r="O323" s="212">
        <f>$O$5</f>
        <v>44377</v>
      </c>
      <c r="P323" s="212">
        <f>$P$5</f>
        <v>44408</v>
      </c>
      <c r="Q323" s="212">
        <f>$Q$5</f>
        <v>44439</v>
      </c>
      <c r="R323" s="212">
        <f>$R$5</f>
        <v>44469</v>
      </c>
      <c r="S323" s="155">
        <f>$S$5</f>
        <v>44500</v>
      </c>
      <c r="T323" s="155">
        <f>$T$5</f>
        <v>44530</v>
      </c>
      <c r="U323" s="155">
        <f>$U$5</f>
        <v>44561</v>
      </c>
      <c r="V323" s="78"/>
      <c r="W323" s="195" t="str">
        <f>$W$5</f>
        <v xml:space="preserve">Outstanding </v>
      </c>
      <c r="X323" s="2"/>
      <c r="Y323" s="2"/>
      <c r="Z323" s="2"/>
      <c r="AA323" s="2">
        <f>$AA$5</f>
        <v>44592</v>
      </c>
      <c r="AB323" s="2">
        <f>$AB$5</f>
        <v>44620</v>
      </c>
      <c r="AC323" s="2">
        <f>$AC$5</f>
        <v>44651</v>
      </c>
      <c r="AE323" s="152" t="str">
        <f>$AE$5</f>
        <v>Benefice</v>
      </c>
      <c r="AH323" s="16" t="s">
        <v>1062</v>
      </c>
      <c r="AJ323" s="170" t="s">
        <v>1063</v>
      </c>
      <c r="AQ323" s="222">
        <f>AQ5</f>
        <v>44588</v>
      </c>
    </row>
    <row r="324" spans="1:43" ht="16.5" x14ac:dyDescent="0.25">
      <c r="A324" s="6"/>
      <c r="G324" s="201" t="s">
        <v>1040</v>
      </c>
      <c r="H324" s="202" t="s">
        <v>1040</v>
      </c>
      <c r="I324" s="203"/>
      <c r="J324" s="202" t="s">
        <v>1040</v>
      </c>
      <c r="K324" s="202" t="s">
        <v>1040</v>
      </c>
      <c r="L324" s="202" t="s">
        <v>1040</v>
      </c>
      <c r="M324" s="202" t="s">
        <v>1040</v>
      </c>
      <c r="N324" s="202" t="s">
        <v>1040</v>
      </c>
      <c r="O324" s="202" t="s">
        <v>1040</v>
      </c>
      <c r="P324" s="202" t="s">
        <v>1040</v>
      </c>
      <c r="Q324" s="202" t="s">
        <v>1040</v>
      </c>
      <c r="R324" s="202" t="s">
        <v>1040</v>
      </c>
      <c r="S324" s="147" t="s">
        <v>1040</v>
      </c>
      <c r="T324" s="147" t="s">
        <v>1040</v>
      </c>
      <c r="U324" s="147" t="s">
        <v>1040</v>
      </c>
      <c r="W324" s="194"/>
      <c r="X324"/>
      <c r="Y324"/>
      <c r="Z324"/>
      <c r="AA324"/>
      <c r="AB324"/>
      <c r="AC324"/>
      <c r="AJ324" s="23"/>
    </row>
    <row r="325" spans="1:43" x14ac:dyDescent="0.2">
      <c r="AJ325" s="23"/>
    </row>
    <row r="326" spans="1:43" x14ac:dyDescent="0.2">
      <c r="A326" s="144" t="s">
        <v>246</v>
      </c>
      <c r="B326" s="9" t="s">
        <v>495</v>
      </c>
      <c r="C326" s="9" t="s">
        <v>495</v>
      </c>
      <c r="D326" s="9">
        <v>0</v>
      </c>
      <c r="E326" s="9"/>
      <c r="F326" s="9">
        <v>0</v>
      </c>
      <c r="G326" s="83">
        <v>14448</v>
      </c>
      <c r="H326" s="83">
        <f t="shared" ref="H326:H343" si="69">SUM(J326:U326)+SUM(AA326:AC326)</f>
        <v>12000</v>
      </c>
      <c r="I326" s="133">
        <f t="shared" ref="I326" si="70">ROUND((H326/G326),4)</f>
        <v>0.8306</v>
      </c>
      <c r="J326" s="82">
        <v>0</v>
      </c>
      <c r="K326" s="82"/>
      <c r="L326" s="82"/>
      <c r="M326" s="82"/>
      <c r="N326" s="82">
        <v>3000</v>
      </c>
      <c r="O326" s="82"/>
      <c r="P326" s="82">
        <v>2000</v>
      </c>
      <c r="Q326" s="82"/>
      <c r="R326" s="82"/>
      <c r="S326" s="23">
        <v>2000</v>
      </c>
      <c r="T326" s="23"/>
      <c r="U326" s="23">
        <v>5000</v>
      </c>
      <c r="V326" s="7" t="s">
        <v>726</v>
      </c>
      <c r="W326" s="82">
        <f t="shared" ref="W326:W343" si="71">G326-H326</f>
        <v>2448</v>
      </c>
      <c r="Y326" s="4"/>
      <c r="Z326" s="4"/>
      <c r="AA326" s="82">
        <v>0</v>
      </c>
      <c r="AB326" s="82"/>
      <c r="AC326" s="82"/>
      <c r="AD326" s="23"/>
      <c r="AE326" s="7" t="s">
        <v>463</v>
      </c>
      <c r="AH326" s="23">
        <f>SUM('2020 detail'!J326:U326)+'2020 detail'!AA326+'2020 detail'!AB326</f>
        <v>11500</v>
      </c>
      <c r="AJ326" s="23">
        <f t="shared" si="55"/>
        <v>500</v>
      </c>
      <c r="AL326" t="str">
        <f t="shared" si="64"/>
        <v>Up</v>
      </c>
      <c r="AQ326" s="23">
        <v>5000</v>
      </c>
    </row>
    <row r="327" spans="1:43" x14ac:dyDescent="0.2">
      <c r="A327" s="144" t="s">
        <v>247</v>
      </c>
      <c r="B327" s="9" t="s">
        <v>495</v>
      </c>
      <c r="C327" s="9" t="s">
        <v>495</v>
      </c>
      <c r="D327" s="9" t="s">
        <v>495</v>
      </c>
      <c r="E327" s="9"/>
      <c r="F327" s="9">
        <v>0</v>
      </c>
      <c r="G327" s="83">
        <v>6691</v>
      </c>
      <c r="H327" s="83">
        <f t="shared" si="69"/>
        <v>312</v>
      </c>
      <c r="I327" s="133">
        <f t="shared" ref="I327:I343" si="72">ROUND((H327/G327),4)</f>
        <v>4.6600000000000003E-2</v>
      </c>
      <c r="J327" s="82">
        <v>0</v>
      </c>
      <c r="K327" s="82"/>
      <c r="L327" s="82"/>
      <c r="M327" s="82"/>
      <c r="N327" s="82"/>
      <c r="O327" s="82"/>
      <c r="P327" s="82"/>
      <c r="Q327" s="82"/>
      <c r="R327" s="82"/>
      <c r="S327" s="23"/>
      <c r="T327" s="23"/>
      <c r="U327" s="23"/>
      <c r="V327" s="7" t="s">
        <v>727</v>
      </c>
      <c r="W327" s="82">
        <f t="shared" si="71"/>
        <v>6379</v>
      </c>
      <c r="AA327" s="82">
        <v>0</v>
      </c>
      <c r="AB327" s="82">
        <v>312</v>
      </c>
      <c r="AC327" s="82"/>
      <c r="AD327" s="23"/>
      <c r="AE327" s="7" t="s">
        <v>463</v>
      </c>
      <c r="AH327" s="23">
        <f>SUM('2020 detail'!J327:U327)+'2020 detail'!AA327+'2020 detail'!AB327</f>
        <v>3500</v>
      </c>
      <c r="AJ327" s="23">
        <f t="shared" si="55"/>
        <v>-3188</v>
      </c>
      <c r="AL327" t="str">
        <f t="shared" si="64"/>
        <v>Down</v>
      </c>
    </row>
    <row r="328" spans="1:43" x14ac:dyDescent="0.2">
      <c r="A328" s="144" t="s">
        <v>248</v>
      </c>
      <c r="B328" s="9" t="s">
        <v>495</v>
      </c>
      <c r="C328" s="9" t="s">
        <v>495</v>
      </c>
      <c r="D328" s="9" t="s">
        <v>495</v>
      </c>
      <c r="E328" s="9"/>
      <c r="F328" s="9">
        <v>0</v>
      </c>
      <c r="G328" s="83">
        <v>2289</v>
      </c>
      <c r="H328" s="83">
        <f t="shared" si="69"/>
        <v>2289</v>
      </c>
      <c r="I328" s="133">
        <f t="shared" si="72"/>
        <v>1</v>
      </c>
      <c r="J328" s="82">
        <v>0</v>
      </c>
      <c r="K328" s="82"/>
      <c r="L328" s="82"/>
      <c r="M328" s="82"/>
      <c r="N328" s="82"/>
      <c r="O328" s="82"/>
      <c r="P328" s="82">
        <v>1000</v>
      </c>
      <c r="Q328" s="82"/>
      <c r="R328" s="82"/>
      <c r="S328" s="23"/>
      <c r="T328" s="23"/>
      <c r="U328" s="23">
        <v>1289</v>
      </c>
      <c r="V328" s="7" t="s">
        <v>728</v>
      </c>
      <c r="W328" s="82">
        <f t="shared" si="71"/>
        <v>0</v>
      </c>
      <c r="AA328" s="82">
        <v>0</v>
      </c>
      <c r="AB328" s="82"/>
      <c r="AC328" s="82"/>
      <c r="AD328" s="23"/>
      <c r="AE328" s="7" t="s">
        <v>463</v>
      </c>
      <c r="AH328" s="23">
        <f>SUM('2020 detail'!J328:U328)+'2020 detail'!AA328+'2020 detail'!AB328</f>
        <v>1500</v>
      </c>
      <c r="AJ328" s="23">
        <f t="shared" si="55"/>
        <v>789</v>
      </c>
      <c r="AL328" t="str">
        <f t="shared" si="64"/>
        <v>Up</v>
      </c>
      <c r="AQ328" s="23">
        <v>1289</v>
      </c>
    </row>
    <row r="329" spans="1:43" x14ac:dyDescent="0.2">
      <c r="A329" s="144" t="s">
        <v>249</v>
      </c>
      <c r="B329" s="9" t="s">
        <v>495</v>
      </c>
      <c r="C329" s="9" t="s">
        <v>495</v>
      </c>
      <c r="D329" s="9" t="s">
        <v>495</v>
      </c>
      <c r="E329" s="9"/>
      <c r="F329" s="9" t="s">
        <v>495</v>
      </c>
      <c r="G329" s="83">
        <v>15415</v>
      </c>
      <c r="H329" s="83">
        <f t="shared" si="69"/>
        <v>6480</v>
      </c>
      <c r="I329" s="133">
        <f t="shared" si="72"/>
        <v>0.4204</v>
      </c>
      <c r="J329" s="82">
        <v>700</v>
      </c>
      <c r="K329" s="82">
        <v>700</v>
      </c>
      <c r="L329" s="82">
        <v>700</v>
      </c>
      <c r="M329" s="82">
        <v>700</v>
      </c>
      <c r="N329" s="82">
        <v>460</v>
      </c>
      <c r="O329" s="82">
        <v>460</v>
      </c>
      <c r="P329" s="82">
        <v>460</v>
      </c>
      <c r="Q329" s="82">
        <v>460</v>
      </c>
      <c r="R329" s="82">
        <v>460</v>
      </c>
      <c r="S329" s="23">
        <v>460</v>
      </c>
      <c r="T329" s="23">
        <v>460</v>
      </c>
      <c r="U329" s="23">
        <v>460</v>
      </c>
      <c r="V329" s="7" t="s">
        <v>729</v>
      </c>
      <c r="W329" s="82">
        <f t="shared" si="71"/>
        <v>8935</v>
      </c>
      <c r="AA329" s="82">
        <v>0</v>
      </c>
      <c r="AB329" s="82"/>
      <c r="AC329" s="82"/>
      <c r="AD329" s="23"/>
      <c r="AE329" s="7" t="s">
        <v>459</v>
      </c>
      <c r="AH329" s="23">
        <f>SUM('2020 detail'!J329:U329)+'2020 detail'!AA329+'2020 detail'!AB329</f>
        <v>9385</v>
      </c>
      <c r="AJ329" s="23">
        <f t="shared" ref="AJ329:AJ391" si="73">H329-AH329</f>
        <v>-2905</v>
      </c>
      <c r="AL329" t="str">
        <f t="shared" si="64"/>
        <v>Down</v>
      </c>
      <c r="AQ329" s="23">
        <v>460</v>
      </c>
    </row>
    <row r="330" spans="1:43" x14ac:dyDescent="0.2">
      <c r="A330" s="144" t="s">
        <v>250</v>
      </c>
      <c r="B330" s="9" t="s">
        <v>495</v>
      </c>
      <c r="C330" s="9" t="s">
        <v>495</v>
      </c>
      <c r="D330" s="9" t="s">
        <v>495</v>
      </c>
      <c r="E330" s="9"/>
      <c r="F330" s="9" t="s">
        <v>495</v>
      </c>
      <c r="G330" s="83">
        <v>15415</v>
      </c>
      <c r="H330" s="83">
        <f t="shared" si="69"/>
        <v>11600</v>
      </c>
      <c r="I330" s="133">
        <f t="shared" si="72"/>
        <v>0.75249999999999995</v>
      </c>
      <c r="J330" s="82">
        <v>985</v>
      </c>
      <c r="K330" s="82">
        <v>965</v>
      </c>
      <c r="L330" s="82">
        <v>965</v>
      </c>
      <c r="M330" s="82">
        <v>965</v>
      </c>
      <c r="N330" s="82">
        <v>965</v>
      </c>
      <c r="O330" s="82">
        <v>965</v>
      </c>
      <c r="P330" s="82">
        <v>965</v>
      </c>
      <c r="Q330" s="82">
        <v>965</v>
      </c>
      <c r="R330" s="82">
        <v>965</v>
      </c>
      <c r="S330" s="23">
        <v>965</v>
      </c>
      <c r="T330" s="23">
        <v>965</v>
      </c>
      <c r="U330" s="23">
        <v>965</v>
      </c>
      <c r="V330" s="7" t="s">
        <v>730</v>
      </c>
      <c r="W330" s="82">
        <f t="shared" si="71"/>
        <v>3815</v>
      </c>
      <c r="AA330" s="82">
        <v>0</v>
      </c>
      <c r="AB330" s="82"/>
      <c r="AC330" s="82"/>
      <c r="AD330" s="23"/>
      <c r="AE330" s="7" t="s">
        <v>459</v>
      </c>
      <c r="AH330" s="23">
        <f>SUM('2020 detail'!J330:U330)+'2020 detail'!AA330+'2020 detail'!AB330</f>
        <v>11000</v>
      </c>
      <c r="AJ330" s="23">
        <f t="shared" si="73"/>
        <v>600</v>
      </c>
      <c r="AL330" t="str">
        <f t="shared" si="64"/>
        <v>Up</v>
      </c>
      <c r="AQ330" s="23">
        <v>965</v>
      </c>
    </row>
    <row r="331" spans="1:43" x14ac:dyDescent="0.2">
      <c r="A331" s="144" t="s">
        <v>251</v>
      </c>
      <c r="B331" s="9" t="s">
        <v>495</v>
      </c>
      <c r="C331" s="9" t="s">
        <v>495</v>
      </c>
      <c r="D331" s="9" t="s">
        <v>495</v>
      </c>
      <c r="E331" s="9"/>
      <c r="F331" s="9" t="s">
        <v>495</v>
      </c>
      <c r="G331" s="83">
        <v>68537</v>
      </c>
      <c r="H331" s="83">
        <f t="shared" si="69"/>
        <v>68536.999999999985</v>
      </c>
      <c r="I331" s="133">
        <f t="shared" si="72"/>
        <v>1</v>
      </c>
      <c r="J331" s="82">
        <v>3729</v>
      </c>
      <c r="K331" s="82">
        <v>5891.7</v>
      </c>
      <c r="L331" s="82">
        <v>5891.63</v>
      </c>
      <c r="M331" s="82">
        <v>5891.63</v>
      </c>
      <c r="N331" s="82">
        <v>5891.63</v>
      </c>
      <c r="O331" s="82">
        <v>5891.63</v>
      </c>
      <c r="P331" s="82">
        <v>5891.63</v>
      </c>
      <c r="Q331" s="82">
        <v>5891.63</v>
      </c>
      <c r="R331" s="82">
        <v>5891.63</v>
      </c>
      <c r="S331" s="23">
        <v>5891.63</v>
      </c>
      <c r="T331" s="23">
        <v>5891.63</v>
      </c>
      <c r="U331" s="23">
        <v>5891.63</v>
      </c>
      <c r="V331" s="7" t="s">
        <v>731</v>
      </c>
      <c r="W331" s="82">
        <f t="shared" si="71"/>
        <v>0</v>
      </c>
      <c r="AA331" s="82">
        <v>0</v>
      </c>
      <c r="AB331" s="82"/>
      <c r="AC331" s="82"/>
      <c r="AD331" s="23"/>
      <c r="AE331" s="7" t="s">
        <v>460</v>
      </c>
      <c r="AH331" s="23">
        <f>SUM('2020 detail'!J331:U331)+'2020 detail'!AA331+'2020 detail'!AB331</f>
        <v>53930.979999999996</v>
      </c>
      <c r="AJ331" s="23">
        <f t="shared" si="73"/>
        <v>14606.01999999999</v>
      </c>
      <c r="AL331" t="str">
        <f t="shared" si="64"/>
        <v>Up</v>
      </c>
      <c r="AQ331" s="23">
        <v>5891.63</v>
      </c>
    </row>
    <row r="332" spans="1:43" x14ac:dyDescent="0.2">
      <c r="A332" s="144" t="s">
        <v>252</v>
      </c>
      <c r="B332" s="9" t="s">
        <v>495</v>
      </c>
      <c r="C332" s="9" t="s">
        <v>495</v>
      </c>
      <c r="D332" s="9">
        <v>0</v>
      </c>
      <c r="E332" s="9"/>
      <c r="F332" s="9">
        <v>0</v>
      </c>
      <c r="G332" s="83">
        <v>28435</v>
      </c>
      <c r="H332" s="83">
        <f t="shared" si="69"/>
        <v>19000</v>
      </c>
      <c r="I332" s="133">
        <f t="shared" si="72"/>
        <v>0.66820000000000002</v>
      </c>
      <c r="J332" s="82">
        <v>0</v>
      </c>
      <c r="K332" s="82"/>
      <c r="L332" s="82">
        <v>2000</v>
      </c>
      <c r="M332" s="82"/>
      <c r="N332" s="82"/>
      <c r="O332" s="82">
        <v>4500</v>
      </c>
      <c r="P332" s="82">
        <v>2000</v>
      </c>
      <c r="Q332" s="82">
        <v>1500</v>
      </c>
      <c r="R332" s="82">
        <v>2500</v>
      </c>
      <c r="S332" s="23">
        <v>1000</v>
      </c>
      <c r="T332" s="23">
        <v>1500</v>
      </c>
      <c r="U332" s="23">
        <v>4000</v>
      </c>
      <c r="V332" s="7" t="s">
        <v>732</v>
      </c>
      <c r="W332" s="82">
        <f t="shared" si="71"/>
        <v>9435</v>
      </c>
      <c r="AA332" s="82">
        <v>0</v>
      </c>
      <c r="AB332" s="82"/>
      <c r="AC332" s="82"/>
      <c r="AD332" s="23"/>
      <c r="AE332" s="7" t="s">
        <v>461</v>
      </c>
      <c r="AH332" s="23">
        <f>SUM('2020 detail'!J332:U332)+'2020 detail'!AA332+'2020 detail'!AB332</f>
        <v>19000</v>
      </c>
      <c r="AJ332" s="23">
        <f t="shared" si="73"/>
        <v>0</v>
      </c>
      <c r="AL332" t="str">
        <f t="shared" si="64"/>
        <v>Same</v>
      </c>
      <c r="AQ332" s="23">
        <v>4000</v>
      </c>
    </row>
    <row r="333" spans="1:43" x14ac:dyDescent="0.2">
      <c r="A333" s="144" t="s">
        <v>253</v>
      </c>
      <c r="B333" s="9" t="s">
        <v>495</v>
      </c>
      <c r="C333" s="9" t="s">
        <v>495</v>
      </c>
      <c r="D333" s="9" t="s">
        <v>495</v>
      </c>
      <c r="E333" s="9"/>
      <c r="F333" s="9">
        <v>0</v>
      </c>
      <c r="G333" s="83">
        <v>30000</v>
      </c>
      <c r="H333" s="83">
        <f t="shared" si="69"/>
        <v>30000</v>
      </c>
      <c r="I333" s="133">
        <f t="shared" si="72"/>
        <v>1</v>
      </c>
      <c r="J333" s="82">
        <v>2500</v>
      </c>
      <c r="K333" s="82">
        <v>2500</v>
      </c>
      <c r="L333" s="82">
        <v>2500</v>
      </c>
      <c r="M333" s="82">
        <v>2500</v>
      </c>
      <c r="N333" s="82">
        <v>2500</v>
      </c>
      <c r="O333" s="82">
        <v>2500</v>
      </c>
      <c r="P333" s="82">
        <v>2500</v>
      </c>
      <c r="Q333" s="82">
        <v>2500</v>
      </c>
      <c r="R333" s="82">
        <v>2500</v>
      </c>
      <c r="S333" s="23">
        <v>2500</v>
      </c>
      <c r="T333" s="23">
        <v>2500</v>
      </c>
      <c r="U333" s="23">
        <v>2500</v>
      </c>
      <c r="V333" s="7" t="s">
        <v>733</v>
      </c>
      <c r="W333" s="82">
        <f t="shared" si="71"/>
        <v>0</v>
      </c>
      <c r="AA333" s="82">
        <v>0</v>
      </c>
      <c r="AB333" s="82"/>
      <c r="AC333" s="82"/>
      <c r="AD333" s="23"/>
      <c r="AE333" s="7" t="s">
        <v>461</v>
      </c>
      <c r="AH333" s="23">
        <f>SUM('2020 detail'!J333:U333)+'2020 detail'!AA333+'2020 detail'!AB333</f>
        <v>30000</v>
      </c>
      <c r="AJ333" s="23">
        <f t="shared" si="73"/>
        <v>0</v>
      </c>
      <c r="AL333" t="str">
        <f t="shared" si="64"/>
        <v>Same</v>
      </c>
      <c r="AQ333" s="23">
        <v>2500</v>
      </c>
    </row>
    <row r="334" spans="1:43" x14ac:dyDescent="0.2">
      <c r="A334" s="144" t="s">
        <v>254</v>
      </c>
      <c r="B334" s="9" t="s">
        <v>495</v>
      </c>
      <c r="C334" s="9" t="s">
        <v>495</v>
      </c>
      <c r="D334" s="9">
        <v>0</v>
      </c>
      <c r="E334" s="9"/>
      <c r="F334" s="9">
        <v>0</v>
      </c>
      <c r="G334" s="83">
        <v>8649</v>
      </c>
      <c r="H334" s="83">
        <f t="shared" si="69"/>
        <v>8650</v>
      </c>
      <c r="I334" s="133">
        <f t="shared" si="72"/>
        <v>1.0001</v>
      </c>
      <c r="J334" s="82">
        <v>0</v>
      </c>
      <c r="K334" s="82"/>
      <c r="L334" s="82"/>
      <c r="M334" s="82"/>
      <c r="N334" s="82"/>
      <c r="O334" s="82"/>
      <c r="P334" s="82"/>
      <c r="Q334" s="82"/>
      <c r="R334" s="82"/>
      <c r="S334" s="23">
        <v>8650</v>
      </c>
      <c r="T334" s="23"/>
      <c r="U334" s="23"/>
      <c r="V334" s="7" t="s">
        <v>734</v>
      </c>
      <c r="W334" s="82">
        <f t="shared" si="71"/>
        <v>-1</v>
      </c>
      <c r="AA334" s="82">
        <v>0</v>
      </c>
      <c r="AB334" s="82"/>
      <c r="AC334" s="82"/>
      <c r="AD334" s="23"/>
      <c r="AE334" s="7" t="s">
        <v>463</v>
      </c>
      <c r="AH334" s="23">
        <f>SUM('2020 detail'!J334:U334)+'2020 detail'!AA334+'2020 detail'!AB334</f>
        <v>6000</v>
      </c>
      <c r="AJ334" s="23">
        <f t="shared" si="73"/>
        <v>2650</v>
      </c>
      <c r="AL334" t="str">
        <f t="shared" si="64"/>
        <v>Up</v>
      </c>
    </row>
    <row r="335" spans="1:43" x14ac:dyDescent="0.2">
      <c r="A335" s="144" t="s">
        <v>255</v>
      </c>
      <c r="B335" s="9" t="s">
        <v>495</v>
      </c>
      <c r="C335" s="9" t="s">
        <v>495</v>
      </c>
      <c r="D335" s="9" t="s">
        <v>495</v>
      </c>
      <c r="E335" s="9"/>
      <c r="F335" s="9">
        <v>0</v>
      </c>
      <c r="G335" s="83">
        <v>9632</v>
      </c>
      <c r="H335" s="83">
        <f t="shared" si="69"/>
        <v>7224</v>
      </c>
      <c r="I335" s="133">
        <f t="shared" si="72"/>
        <v>0.75</v>
      </c>
      <c r="J335" s="82">
        <v>0</v>
      </c>
      <c r="K335" s="82"/>
      <c r="L335" s="82"/>
      <c r="M335" s="82">
        <v>1019.5</v>
      </c>
      <c r="N335" s="82"/>
      <c r="O335" s="82"/>
      <c r="P335" s="82">
        <v>1061.75</v>
      </c>
      <c r="Q335" s="82"/>
      <c r="R335" s="82"/>
      <c r="S335" s="23">
        <v>2207.35</v>
      </c>
      <c r="T335" s="23"/>
      <c r="U335" s="23">
        <v>2935.4</v>
      </c>
      <c r="V335" s="7" t="s">
        <v>735</v>
      </c>
      <c r="W335" s="82">
        <f t="shared" si="71"/>
        <v>2408</v>
      </c>
      <c r="AA335" s="82">
        <v>0</v>
      </c>
      <c r="AB335" s="82"/>
      <c r="AC335" s="82"/>
      <c r="AD335" s="23"/>
      <c r="AE335" s="7" t="s">
        <v>463</v>
      </c>
      <c r="AH335" s="23">
        <f>SUM('2020 detail'!J335:U335)+'2020 detail'!AA335+'2020 detail'!AB335</f>
        <v>7244.4</v>
      </c>
      <c r="AJ335" s="23">
        <f t="shared" si="73"/>
        <v>-20.399999999999636</v>
      </c>
      <c r="AL335" t="str">
        <f t="shared" si="64"/>
        <v>Down</v>
      </c>
      <c r="AQ335" s="23">
        <v>2935.4</v>
      </c>
    </row>
    <row r="336" spans="1:43" x14ac:dyDescent="0.2">
      <c r="A336" s="144" t="s">
        <v>256</v>
      </c>
      <c r="B336" s="9">
        <v>0</v>
      </c>
      <c r="C336" s="9" t="s">
        <v>495</v>
      </c>
      <c r="D336" s="9" t="s">
        <v>495</v>
      </c>
      <c r="E336" s="9"/>
      <c r="F336" s="9" t="s">
        <v>495</v>
      </c>
      <c r="G336" s="83">
        <v>22980</v>
      </c>
      <c r="H336" s="83">
        <f t="shared" si="69"/>
        <v>12000</v>
      </c>
      <c r="I336" s="133">
        <f t="shared" si="72"/>
        <v>0.5222</v>
      </c>
      <c r="J336" s="82">
        <v>1000</v>
      </c>
      <c r="K336" s="82">
        <v>1000</v>
      </c>
      <c r="L336" s="82">
        <v>1000</v>
      </c>
      <c r="M336" s="82">
        <v>1000</v>
      </c>
      <c r="N336" s="82">
        <v>1000</v>
      </c>
      <c r="O336" s="82">
        <v>1000</v>
      </c>
      <c r="P336" s="82">
        <v>1000</v>
      </c>
      <c r="Q336" s="82">
        <v>1000</v>
      </c>
      <c r="R336" s="82">
        <v>1000</v>
      </c>
      <c r="S336" s="23">
        <v>1000</v>
      </c>
      <c r="T336" s="23">
        <v>1000</v>
      </c>
      <c r="U336" s="23">
        <v>1000</v>
      </c>
      <c r="V336" s="7" t="s">
        <v>736</v>
      </c>
      <c r="W336" s="82">
        <f t="shared" si="71"/>
        <v>10980</v>
      </c>
      <c r="AA336" s="82">
        <v>0</v>
      </c>
      <c r="AB336" s="82"/>
      <c r="AC336" s="82"/>
      <c r="AD336" s="23"/>
      <c r="AE336" s="7" t="s">
        <v>462</v>
      </c>
      <c r="AH336" s="23">
        <f>SUM('2020 detail'!J336:U336)+'2020 detail'!AA336+'2020 detail'!AB336</f>
        <v>19214.64</v>
      </c>
      <c r="AJ336" s="23">
        <f t="shared" si="73"/>
        <v>-7214.6399999999994</v>
      </c>
      <c r="AL336" t="str">
        <f t="shared" si="64"/>
        <v>Down</v>
      </c>
      <c r="AQ336" s="23">
        <v>1000</v>
      </c>
    </row>
    <row r="337" spans="1:43" x14ac:dyDescent="0.2">
      <c r="A337" s="144" t="s">
        <v>257</v>
      </c>
      <c r="B337" s="9" t="s">
        <v>495</v>
      </c>
      <c r="C337" s="9">
        <v>0</v>
      </c>
      <c r="D337" s="9">
        <v>0</v>
      </c>
      <c r="E337" s="9"/>
      <c r="F337" s="9" t="s">
        <v>495</v>
      </c>
      <c r="G337" s="83">
        <v>2000</v>
      </c>
      <c r="H337" s="83">
        <f t="shared" si="69"/>
        <v>2000</v>
      </c>
      <c r="I337" s="133">
        <f t="shared" si="72"/>
        <v>1</v>
      </c>
      <c r="J337" s="82">
        <v>100</v>
      </c>
      <c r="K337" s="82">
        <v>100</v>
      </c>
      <c r="L337" s="82">
        <v>100</v>
      </c>
      <c r="M337" s="82">
        <v>100</v>
      </c>
      <c r="N337" s="82">
        <v>100</v>
      </c>
      <c r="O337" s="82">
        <v>100</v>
      </c>
      <c r="P337" s="82">
        <v>100</v>
      </c>
      <c r="Q337" s="82">
        <v>100</v>
      </c>
      <c r="R337" s="82">
        <v>100</v>
      </c>
      <c r="S337" s="23">
        <v>100</v>
      </c>
      <c r="T337" s="23">
        <v>100</v>
      </c>
      <c r="U337" s="23">
        <v>900</v>
      </c>
      <c r="V337" s="7" t="s">
        <v>737</v>
      </c>
      <c r="W337" s="82">
        <f t="shared" si="71"/>
        <v>0</v>
      </c>
      <c r="AA337" s="82">
        <v>0</v>
      </c>
      <c r="AB337" s="82"/>
      <c r="AC337" s="82"/>
      <c r="AD337" s="23"/>
      <c r="AE337" s="7" t="s">
        <v>460</v>
      </c>
      <c r="AH337" s="23">
        <f>SUM('2020 detail'!J337:U337)+'2020 detail'!AA337+'2020 detail'!AB337</f>
        <v>1200</v>
      </c>
      <c r="AJ337" s="23">
        <f t="shared" si="73"/>
        <v>800</v>
      </c>
      <c r="AL337" t="str">
        <f t="shared" si="64"/>
        <v>Up</v>
      </c>
      <c r="AQ337" s="23">
        <v>900</v>
      </c>
    </row>
    <row r="338" spans="1:43" x14ac:dyDescent="0.2">
      <c r="A338" s="144" t="s">
        <v>258</v>
      </c>
      <c r="B338" s="9" t="s">
        <v>495</v>
      </c>
      <c r="C338" s="9">
        <v>0</v>
      </c>
      <c r="D338" s="9" t="s">
        <v>495</v>
      </c>
      <c r="E338" s="9"/>
      <c r="F338" s="9">
        <v>0</v>
      </c>
      <c r="G338" s="83">
        <v>9435</v>
      </c>
      <c r="H338" s="83">
        <f t="shared" si="69"/>
        <v>6000</v>
      </c>
      <c r="I338" s="133">
        <f t="shared" si="72"/>
        <v>0.63590000000000002</v>
      </c>
      <c r="J338" s="82">
        <v>0</v>
      </c>
      <c r="K338" s="82"/>
      <c r="L338" s="82"/>
      <c r="M338" s="82"/>
      <c r="N338" s="82"/>
      <c r="O338" s="82"/>
      <c r="P338" s="82"/>
      <c r="Q338" s="82"/>
      <c r="R338" s="82"/>
      <c r="S338" s="23">
        <v>3000</v>
      </c>
      <c r="T338" s="23"/>
      <c r="U338" s="23"/>
      <c r="V338" s="7" t="s">
        <v>738</v>
      </c>
      <c r="W338" s="82">
        <f t="shared" si="71"/>
        <v>3435</v>
      </c>
      <c r="AA338" s="82">
        <v>3000</v>
      </c>
      <c r="AB338" s="82"/>
      <c r="AC338" s="82"/>
      <c r="AD338" s="23"/>
      <c r="AE338" s="7" t="s">
        <v>463</v>
      </c>
      <c r="AH338" s="23">
        <f>SUM('2020 detail'!J338:U338)+'2020 detail'!AA338+'2020 detail'!AB338</f>
        <v>6000</v>
      </c>
      <c r="AJ338" s="23">
        <f t="shared" si="73"/>
        <v>0</v>
      </c>
      <c r="AL338" t="str">
        <f t="shared" si="64"/>
        <v>Same</v>
      </c>
    </row>
    <row r="339" spans="1:43" x14ac:dyDescent="0.2">
      <c r="A339" s="144" t="s">
        <v>259</v>
      </c>
      <c r="B339" s="9">
        <v>0</v>
      </c>
      <c r="C339" s="9">
        <v>0</v>
      </c>
      <c r="D339" s="9" t="s">
        <v>495</v>
      </c>
      <c r="E339" s="9"/>
      <c r="F339" s="9">
        <v>0</v>
      </c>
      <c r="G339" s="83">
        <v>16409</v>
      </c>
      <c r="H339" s="83">
        <f t="shared" si="69"/>
        <v>12502</v>
      </c>
      <c r="I339" s="133">
        <f t="shared" si="72"/>
        <v>0.76190000000000002</v>
      </c>
      <c r="J339" s="82">
        <v>1000</v>
      </c>
      <c r="K339" s="82">
        <v>1000</v>
      </c>
      <c r="L339" s="82">
        <v>1000</v>
      </c>
      <c r="M339" s="82">
        <v>1000</v>
      </c>
      <c r="N339" s="82">
        <v>1000</v>
      </c>
      <c r="O339" s="82">
        <v>1000</v>
      </c>
      <c r="P339" s="82">
        <v>1000</v>
      </c>
      <c r="Q339" s="82">
        <v>1000</v>
      </c>
      <c r="R339" s="82">
        <v>1000</v>
      </c>
      <c r="S339" s="23">
        <v>1000</v>
      </c>
      <c r="T339" s="23">
        <v>1000</v>
      </c>
      <c r="U339" s="23">
        <v>1502</v>
      </c>
      <c r="V339" s="7" t="s">
        <v>739</v>
      </c>
      <c r="W339" s="82">
        <f t="shared" si="71"/>
        <v>3907</v>
      </c>
      <c r="AA339" s="82">
        <v>0</v>
      </c>
      <c r="AB339" s="82"/>
      <c r="AC339" s="82"/>
      <c r="AD339" s="23"/>
      <c r="AE339" s="7" t="s">
        <v>463</v>
      </c>
      <c r="AH339" s="23">
        <f>SUM('2020 detail'!J339:U339)+'2020 detail'!AA339+'2020 detail'!AB339</f>
        <v>12000</v>
      </c>
      <c r="AJ339" s="23">
        <f t="shared" si="73"/>
        <v>502</v>
      </c>
      <c r="AL339" t="str">
        <f t="shared" si="64"/>
        <v>Up</v>
      </c>
      <c r="AQ339" s="23">
        <v>1502</v>
      </c>
    </row>
    <row r="340" spans="1:43" x14ac:dyDescent="0.2">
      <c r="A340" s="144" t="s">
        <v>260</v>
      </c>
      <c r="B340" s="9" t="s">
        <v>495</v>
      </c>
      <c r="C340" s="9" t="s">
        <v>495</v>
      </c>
      <c r="D340" s="9">
        <v>0</v>
      </c>
      <c r="E340" s="9"/>
      <c r="F340" s="9" t="s">
        <v>495</v>
      </c>
      <c r="G340" s="83">
        <v>26400</v>
      </c>
      <c r="H340" s="83">
        <f t="shared" si="69"/>
        <v>26400</v>
      </c>
      <c r="I340" s="133">
        <f t="shared" si="72"/>
        <v>1</v>
      </c>
      <c r="J340" s="82">
        <v>2200</v>
      </c>
      <c r="K340" s="82">
        <v>2200</v>
      </c>
      <c r="L340" s="82">
        <v>2200</v>
      </c>
      <c r="M340" s="82">
        <v>2200</v>
      </c>
      <c r="N340" s="82">
        <v>2200</v>
      </c>
      <c r="O340" s="82">
        <v>2200</v>
      </c>
      <c r="P340" s="82">
        <v>2200</v>
      </c>
      <c r="Q340" s="82">
        <v>2200</v>
      </c>
      <c r="R340" s="82">
        <v>2200</v>
      </c>
      <c r="S340" s="23">
        <v>2200</v>
      </c>
      <c r="T340" s="23">
        <v>2200</v>
      </c>
      <c r="U340" s="23">
        <v>2200</v>
      </c>
      <c r="V340" s="7" t="s">
        <v>740</v>
      </c>
      <c r="W340" s="82">
        <f t="shared" si="71"/>
        <v>0</v>
      </c>
      <c r="AA340" s="82">
        <v>0</v>
      </c>
      <c r="AB340" s="82"/>
      <c r="AC340" s="82"/>
      <c r="AD340" s="23"/>
      <c r="AE340" s="7" t="s">
        <v>464</v>
      </c>
      <c r="AH340" s="23">
        <f>SUM('2020 detail'!J340:U340)+'2020 detail'!AA340+'2020 detail'!AB340</f>
        <v>26400</v>
      </c>
      <c r="AJ340" s="23">
        <f t="shared" si="73"/>
        <v>0</v>
      </c>
      <c r="AL340" t="str">
        <f t="shared" si="64"/>
        <v>Same</v>
      </c>
      <c r="AQ340" s="23">
        <v>2200</v>
      </c>
    </row>
    <row r="341" spans="1:43" x14ac:dyDescent="0.2">
      <c r="A341" s="144" t="s">
        <v>261</v>
      </c>
      <c r="B341" s="9" t="s">
        <v>495</v>
      </c>
      <c r="C341" s="9">
        <v>0</v>
      </c>
      <c r="D341" s="9">
        <v>0</v>
      </c>
      <c r="E341" s="9"/>
      <c r="F341" s="9">
        <v>0</v>
      </c>
      <c r="G341" s="83">
        <v>665</v>
      </c>
      <c r="H341" s="83">
        <f t="shared" si="69"/>
        <v>0</v>
      </c>
      <c r="I341" s="133">
        <f t="shared" si="72"/>
        <v>0</v>
      </c>
      <c r="J341" s="82">
        <v>0</v>
      </c>
      <c r="K341" s="82"/>
      <c r="L341" s="82"/>
      <c r="M341" s="82"/>
      <c r="N341" s="82"/>
      <c r="O341" s="82"/>
      <c r="P341" s="82"/>
      <c r="Q341" s="82"/>
      <c r="R341" s="82"/>
      <c r="S341" s="23"/>
      <c r="T341" s="23"/>
      <c r="U341" s="23"/>
      <c r="V341" s="7" t="s">
        <v>741</v>
      </c>
      <c r="W341" s="82">
        <f t="shared" si="71"/>
        <v>665</v>
      </c>
      <c r="AA341" s="82">
        <v>0</v>
      </c>
      <c r="AB341" s="82"/>
      <c r="AC341" s="82"/>
      <c r="AD341" s="23"/>
      <c r="AE341" s="7" t="s">
        <v>459</v>
      </c>
      <c r="AH341" s="23">
        <f>SUM('2020 detail'!J341:U341)+'2020 detail'!AA341+'2020 detail'!AB341</f>
        <v>500</v>
      </c>
      <c r="AJ341" s="23">
        <f t="shared" si="73"/>
        <v>-500</v>
      </c>
      <c r="AL341" t="str">
        <f t="shared" si="64"/>
        <v>Down</v>
      </c>
    </row>
    <row r="342" spans="1:43" x14ac:dyDescent="0.2">
      <c r="A342" s="144" t="s">
        <v>262</v>
      </c>
      <c r="B342" s="9" t="s">
        <v>495</v>
      </c>
      <c r="C342" s="9" t="s">
        <v>495</v>
      </c>
      <c r="D342" s="9" t="s">
        <v>495</v>
      </c>
      <c r="E342" s="9"/>
      <c r="F342" s="9">
        <v>0</v>
      </c>
      <c r="G342" s="83">
        <v>8505</v>
      </c>
      <c r="H342" s="83">
        <f t="shared" si="69"/>
        <v>6400</v>
      </c>
      <c r="I342" s="133">
        <f t="shared" si="72"/>
        <v>0.75249999999999995</v>
      </c>
      <c r="J342" s="82">
        <v>0</v>
      </c>
      <c r="K342" s="82">
        <v>1600</v>
      </c>
      <c r="L342" s="82"/>
      <c r="M342" s="82"/>
      <c r="N342" s="82">
        <v>1600</v>
      </c>
      <c r="O342" s="82"/>
      <c r="P342" s="82"/>
      <c r="Q342" s="82"/>
      <c r="R342" s="82">
        <v>1600</v>
      </c>
      <c r="S342" s="23"/>
      <c r="T342" s="23"/>
      <c r="U342" s="23">
        <v>1600</v>
      </c>
      <c r="V342" s="7" t="s">
        <v>742</v>
      </c>
      <c r="W342" s="82">
        <f t="shared" si="71"/>
        <v>2105</v>
      </c>
      <c r="AA342" s="82">
        <v>0</v>
      </c>
      <c r="AB342" s="82"/>
      <c r="AC342" s="82"/>
      <c r="AD342" s="23"/>
      <c r="AE342" s="7" t="s">
        <v>459</v>
      </c>
      <c r="AH342" s="23">
        <f>SUM('2020 detail'!J342:U342)+'2020 detail'!AA342+'2020 detail'!AB342</f>
        <v>7400</v>
      </c>
      <c r="AJ342" s="23">
        <f t="shared" si="73"/>
        <v>-1000</v>
      </c>
      <c r="AL342" t="str">
        <f t="shared" si="64"/>
        <v>Down</v>
      </c>
      <c r="AQ342" s="23">
        <v>1600</v>
      </c>
    </row>
    <row r="343" spans="1:43" x14ac:dyDescent="0.2">
      <c r="A343" s="144" t="s">
        <v>263</v>
      </c>
      <c r="B343" s="9" t="s">
        <v>495</v>
      </c>
      <c r="C343" s="9" t="s">
        <v>495</v>
      </c>
      <c r="D343" s="9">
        <v>0</v>
      </c>
      <c r="E343" s="9"/>
      <c r="F343" s="9">
        <v>0</v>
      </c>
      <c r="G343" s="83">
        <v>30250</v>
      </c>
      <c r="H343" s="83">
        <f t="shared" si="69"/>
        <v>30250</v>
      </c>
      <c r="I343" s="133">
        <f t="shared" si="72"/>
        <v>1</v>
      </c>
      <c r="J343" s="82">
        <v>1250</v>
      </c>
      <c r="K343" s="82">
        <v>1500</v>
      </c>
      <c r="L343" s="82">
        <v>3000</v>
      </c>
      <c r="M343" s="82">
        <v>1500</v>
      </c>
      <c r="N343" s="82"/>
      <c r="O343" s="82">
        <v>3000</v>
      </c>
      <c r="P343" s="82">
        <v>1500</v>
      </c>
      <c r="Q343" s="82">
        <v>9500</v>
      </c>
      <c r="R343" s="82">
        <v>1500</v>
      </c>
      <c r="S343" s="23"/>
      <c r="T343" s="23">
        <v>3000</v>
      </c>
      <c r="U343" s="23">
        <v>4500</v>
      </c>
      <c r="V343" s="7" t="s">
        <v>743</v>
      </c>
      <c r="W343" s="82">
        <f t="shared" si="71"/>
        <v>0</v>
      </c>
      <c r="AA343" s="82">
        <v>0</v>
      </c>
      <c r="AB343" s="82"/>
      <c r="AC343" s="82"/>
      <c r="AD343" s="23"/>
      <c r="AE343" s="7" t="s">
        <v>462</v>
      </c>
      <c r="AH343" s="23">
        <f>SUM('2020 detail'!J343:U343)+'2020 detail'!AA343+'2020 detail'!AB343</f>
        <v>30250</v>
      </c>
      <c r="AJ343" s="23">
        <f t="shared" si="73"/>
        <v>0</v>
      </c>
      <c r="AL343" t="str">
        <f t="shared" si="64"/>
        <v>Same</v>
      </c>
      <c r="AQ343" s="23">
        <v>4500</v>
      </c>
    </row>
    <row r="344" spans="1:43" x14ac:dyDescent="0.2">
      <c r="G344" s="83"/>
      <c r="H344" s="83"/>
      <c r="I344" s="133"/>
      <c r="AA344" s="82"/>
      <c r="AB344" s="82"/>
      <c r="AC344" s="82"/>
      <c r="AD344" s="23"/>
      <c r="AJ344" s="23"/>
    </row>
    <row r="345" spans="1:43" x14ac:dyDescent="0.2">
      <c r="A345" s="235" t="s">
        <v>1056</v>
      </c>
      <c r="G345" s="83">
        <f>SUM(G326:G344)</f>
        <v>316155</v>
      </c>
      <c r="H345" s="83">
        <f>SUM(H326:H344)</f>
        <v>261644</v>
      </c>
      <c r="I345" s="133">
        <f t="shared" ref="I345:I346" si="74">ROUND((H345/G345),4)</f>
        <v>0.8276</v>
      </c>
      <c r="J345" s="83">
        <f>SUM(J326:J344)</f>
        <v>13464</v>
      </c>
      <c r="K345" s="83">
        <f t="shared" ref="K345:W345" si="75">SUM(K326:K344)</f>
        <v>17456.7</v>
      </c>
      <c r="L345" s="83">
        <f t="shared" si="75"/>
        <v>19356.63</v>
      </c>
      <c r="M345" s="83">
        <f t="shared" si="75"/>
        <v>16876.13</v>
      </c>
      <c r="N345" s="83">
        <f t="shared" si="75"/>
        <v>18716.63</v>
      </c>
      <c r="O345" s="83">
        <f t="shared" si="75"/>
        <v>21616.63</v>
      </c>
      <c r="P345" s="83">
        <f t="shared" si="75"/>
        <v>21678.38</v>
      </c>
      <c r="Q345" s="83">
        <f t="shared" si="75"/>
        <v>25116.63</v>
      </c>
      <c r="R345" s="83">
        <f t="shared" si="75"/>
        <v>19716.63</v>
      </c>
      <c r="S345" s="4">
        <f t="shared" si="75"/>
        <v>30973.98</v>
      </c>
      <c r="T345" s="4">
        <f t="shared" si="75"/>
        <v>18616.63</v>
      </c>
      <c r="U345" s="4">
        <f t="shared" si="75"/>
        <v>34743.03</v>
      </c>
      <c r="V345" s="77"/>
      <c r="W345" s="82">
        <f t="shared" si="75"/>
        <v>54511</v>
      </c>
      <c r="Y345" s="77"/>
      <c r="Z345" s="77"/>
      <c r="AA345" s="83">
        <f t="shared" ref="AA345:AC345" si="76">SUM(AA326:AA344)</f>
        <v>3000</v>
      </c>
      <c r="AB345" s="83">
        <f t="shared" si="76"/>
        <v>312</v>
      </c>
      <c r="AC345" s="83">
        <f t="shared" si="76"/>
        <v>0</v>
      </c>
      <c r="AD345" s="4"/>
      <c r="AH345" s="23">
        <f>SUM(AH326:AH344)</f>
        <v>256025.01999999996</v>
      </c>
      <c r="AJ345" s="23">
        <f t="shared" si="73"/>
        <v>5618.9800000000396</v>
      </c>
      <c r="AM345" s="11">
        <f>SUM(J345:R345)+SUM(S346:U346)+SUM('2020 detail'!AA344:AC344)</f>
        <v>243494.21000000002</v>
      </c>
      <c r="AN345" s="24">
        <f>ROUND((AM345/G345),4)</f>
        <v>0.7702</v>
      </c>
      <c r="AO345" s="24">
        <f>ROUND((SUM(J346:U346)/G346),4)</f>
        <v>0.8044</v>
      </c>
      <c r="AQ345" s="23">
        <f>SUM(AQ326:AQ344)</f>
        <v>34743.03</v>
      </c>
    </row>
    <row r="346" spans="1:43" x14ac:dyDescent="0.2">
      <c r="A346" s="236" t="s">
        <v>1057</v>
      </c>
      <c r="G346" s="206">
        <f>'2020 detail'!G345</f>
        <v>316155</v>
      </c>
      <c r="H346" s="206">
        <f>SUM(J346:AC346)</f>
        <v>256025.02</v>
      </c>
      <c r="I346" s="207">
        <f t="shared" si="74"/>
        <v>0.80979999999999996</v>
      </c>
      <c r="J346" s="206">
        <f>'2020 detail'!J345</f>
        <v>17519.32</v>
      </c>
      <c r="K346" s="206">
        <f>'2020 detail'!K345</f>
        <v>22040.6</v>
      </c>
      <c r="L346" s="206">
        <f>'2020 detail'!L345</f>
        <v>20499.28</v>
      </c>
      <c r="M346" s="206">
        <f>'2020 detail'!M345</f>
        <v>20399.2</v>
      </c>
      <c r="N346" s="206">
        <f>'2020 detail'!N345</f>
        <v>28632.2</v>
      </c>
      <c r="O346" s="206">
        <f>'2020 detail'!O345</f>
        <v>18523.34</v>
      </c>
      <c r="P346" s="206">
        <f>'2020 detail'!P345</f>
        <v>27445.89</v>
      </c>
      <c r="Q346" s="206">
        <f>'2020 detail'!Q345</f>
        <v>14180.34</v>
      </c>
      <c r="R346" s="206">
        <f>'2020 detail'!R345</f>
        <v>15589</v>
      </c>
      <c r="S346" s="165">
        <f>'2020 detail'!S345</f>
        <v>16089</v>
      </c>
      <c r="T346" s="165">
        <f>'2020 detail'!T345</f>
        <v>33189</v>
      </c>
      <c r="U346" s="165">
        <f>'2020 detail'!U345</f>
        <v>20217.849999999999</v>
      </c>
      <c r="AA346" s="165">
        <f>'2020 detail'!AA345</f>
        <v>1700</v>
      </c>
      <c r="AB346" s="165">
        <f>'2020 detail'!AB345</f>
        <v>0</v>
      </c>
      <c r="AC346" s="165">
        <f>'2020 detail'!AC345</f>
        <v>0</v>
      </c>
      <c r="AJ346" s="23"/>
    </row>
    <row r="347" spans="1:43" x14ac:dyDescent="0.2">
      <c r="AJ347" s="23"/>
    </row>
    <row r="348" spans="1:43" s="6" customFormat="1" ht="15.75" x14ac:dyDescent="0.25">
      <c r="A348" s="144"/>
      <c r="B348" s="10"/>
      <c r="C348" s="10"/>
      <c r="D348" s="10"/>
      <c r="E348" s="10"/>
      <c r="F348" s="10"/>
      <c r="G348" s="196" t="s">
        <v>15</v>
      </c>
      <c r="H348" s="15"/>
      <c r="V348" s="10"/>
      <c r="W348" s="81"/>
      <c r="X348" s="7"/>
      <c r="Y348" s="10"/>
      <c r="Z348" s="10"/>
      <c r="AE348" s="10"/>
      <c r="AH348" s="171" t="s">
        <v>1067</v>
      </c>
      <c r="AI348" s="172"/>
      <c r="AJ348" s="171" t="s">
        <v>1064</v>
      </c>
      <c r="AQ348" s="23"/>
    </row>
    <row r="349" spans="1:43" s="6" customFormat="1" x14ac:dyDescent="0.2">
      <c r="A349" s="144"/>
      <c r="B349" s="10"/>
      <c r="C349" s="10"/>
      <c r="D349" s="9"/>
      <c r="E349" s="10"/>
      <c r="F349" s="10"/>
      <c r="G349" s="21"/>
      <c r="H349" s="15"/>
      <c r="V349" s="10"/>
      <c r="W349" s="81"/>
      <c r="X349" s="7"/>
      <c r="Y349" s="10"/>
      <c r="Z349" s="10"/>
      <c r="AE349" s="10"/>
      <c r="AH349" s="171" t="s">
        <v>1096</v>
      </c>
      <c r="AI349" s="172"/>
      <c r="AJ349" s="171" t="s">
        <v>1065</v>
      </c>
      <c r="AQ349" s="23"/>
    </row>
    <row r="350" spans="1:43" ht="16.5" x14ac:dyDescent="0.25">
      <c r="A350" s="6"/>
      <c r="B350" s="8"/>
      <c r="C350" s="8"/>
      <c r="E350" s="8"/>
      <c r="F350" s="8"/>
      <c r="G350" s="208" t="str">
        <f>$G$3</f>
        <v>2021 PARISH SHARE INFORMATION AS AT 22 FEBRUARY 2022</v>
      </c>
      <c r="H350" s="209"/>
      <c r="W350" s="194"/>
      <c r="X350"/>
      <c r="Y350"/>
      <c r="Z350"/>
      <c r="AA350"/>
      <c r="AB350"/>
      <c r="AC350"/>
      <c r="AH350" s="172"/>
      <c r="AI350" s="172"/>
      <c r="AJ350" s="171" t="s">
        <v>1066</v>
      </c>
    </row>
    <row r="351" spans="1:43" x14ac:dyDescent="0.2">
      <c r="A351" s="6"/>
      <c r="G351" s="205"/>
      <c r="H351" s="197"/>
      <c r="W351" s="194"/>
      <c r="X351"/>
      <c r="Y351"/>
      <c r="Z351"/>
      <c r="AA351"/>
      <c r="AB351"/>
      <c r="AC351"/>
      <c r="AJ351" s="23"/>
    </row>
    <row r="352" spans="1:43" ht="16.5" x14ac:dyDescent="0.25">
      <c r="A352" s="204" t="s">
        <v>1</v>
      </c>
      <c r="B352" s="151" t="str">
        <f>$B$5</f>
        <v>RM</v>
      </c>
      <c r="C352" s="151" t="str">
        <f>$C$5</f>
        <v>RF</v>
      </c>
      <c r="D352" s="151" t="str">
        <f>$D$5</f>
        <v>Accts</v>
      </c>
      <c r="E352" s="151"/>
      <c r="F352" s="151" t="str">
        <f>$F$5</f>
        <v>Share DD</v>
      </c>
      <c r="G352" s="210" t="str">
        <f>$G$5</f>
        <v xml:space="preserve">2021 Share </v>
      </c>
      <c r="H352" s="211" t="str">
        <f>$H$5</f>
        <v xml:space="preserve">2021 Paid </v>
      </c>
      <c r="I352" s="211" t="str">
        <f>$I$5</f>
        <v xml:space="preserve">% Paid </v>
      </c>
      <c r="J352" s="212">
        <f>$J$5</f>
        <v>44227</v>
      </c>
      <c r="K352" s="212">
        <f>$K$5</f>
        <v>44255</v>
      </c>
      <c r="L352" s="212">
        <f>$L$5</f>
        <v>44286</v>
      </c>
      <c r="M352" s="212">
        <f>$M$5</f>
        <v>44316</v>
      </c>
      <c r="N352" s="212">
        <f>$N$5</f>
        <v>44347</v>
      </c>
      <c r="O352" s="212">
        <f>$O$5</f>
        <v>44377</v>
      </c>
      <c r="P352" s="212">
        <f>$P$5</f>
        <v>44408</v>
      </c>
      <c r="Q352" s="212">
        <f>$Q$5</f>
        <v>44439</v>
      </c>
      <c r="R352" s="212">
        <f>$R$5</f>
        <v>44469</v>
      </c>
      <c r="S352" s="155">
        <f>$S$5</f>
        <v>44500</v>
      </c>
      <c r="T352" s="155">
        <f>$T$5</f>
        <v>44530</v>
      </c>
      <c r="U352" s="155">
        <f>$U$5</f>
        <v>44561</v>
      </c>
      <c r="V352" s="78"/>
      <c r="W352" s="195" t="str">
        <f>$W$5</f>
        <v xml:space="preserve">Outstanding </v>
      </c>
      <c r="X352" s="2"/>
      <c r="Y352" s="2"/>
      <c r="Z352" s="2"/>
      <c r="AA352" s="2">
        <f>$AA$5</f>
        <v>44592</v>
      </c>
      <c r="AB352" s="2">
        <f>$AB$5</f>
        <v>44620</v>
      </c>
      <c r="AC352" s="2">
        <f>$AC$5</f>
        <v>44651</v>
      </c>
      <c r="AE352" s="152" t="str">
        <f>$AE$5</f>
        <v>Benefice</v>
      </c>
      <c r="AH352" s="16" t="s">
        <v>1062</v>
      </c>
      <c r="AJ352" s="170" t="s">
        <v>1063</v>
      </c>
      <c r="AQ352" s="222">
        <f>AQ5</f>
        <v>44588</v>
      </c>
    </row>
    <row r="353" spans="1:45" ht="16.5" x14ac:dyDescent="0.25">
      <c r="A353" s="6"/>
      <c r="G353" s="201" t="s">
        <v>1040</v>
      </c>
      <c r="H353" s="202" t="s">
        <v>1040</v>
      </c>
      <c r="I353" s="203"/>
      <c r="J353" s="202" t="s">
        <v>1040</v>
      </c>
      <c r="K353" s="202" t="s">
        <v>1040</v>
      </c>
      <c r="L353" s="202" t="s">
        <v>1040</v>
      </c>
      <c r="M353" s="202" t="s">
        <v>1040</v>
      </c>
      <c r="N353" s="202" t="s">
        <v>1040</v>
      </c>
      <c r="O353" s="202" t="s">
        <v>1040</v>
      </c>
      <c r="P353" s="202" t="s">
        <v>1040</v>
      </c>
      <c r="Q353" s="202" t="s">
        <v>1040</v>
      </c>
      <c r="R353" s="202" t="s">
        <v>1040</v>
      </c>
      <c r="S353" s="147" t="s">
        <v>1040</v>
      </c>
      <c r="T353" s="147" t="s">
        <v>1040</v>
      </c>
      <c r="U353" s="147" t="s">
        <v>1040</v>
      </c>
      <c r="W353" s="194"/>
      <c r="X353"/>
      <c r="Y353"/>
      <c r="Z353"/>
      <c r="AA353"/>
      <c r="AB353"/>
      <c r="AC353"/>
      <c r="AJ353" s="23"/>
    </row>
    <row r="354" spans="1:45" x14ac:dyDescent="0.2">
      <c r="AJ354" s="23"/>
    </row>
    <row r="355" spans="1:45" x14ac:dyDescent="0.2">
      <c r="A355" s="144" t="s">
        <v>264</v>
      </c>
      <c r="B355" s="9" t="s">
        <v>495</v>
      </c>
      <c r="C355" s="9">
        <v>0</v>
      </c>
      <c r="D355" s="9">
        <v>0</v>
      </c>
      <c r="E355" s="9"/>
      <c r="F355" s="9" t="s">
        <v>495</v>
      </c>
      <c r="G355" s="83">
        <v>9222</v>
      </c>
      <c r="H355" s="83">
        <f t="shared" ref="H355:H389" si="77">SUM(J355:U355)+SUM(AA355:AC355)</f>
        <v>4201</v>
      </c>
      <c r="I355" s="133">
        <f t="shared" ref="I355" si="78">ROUND((H355/G355),4)</f>
        <v>0.45550000000000002</v>
      </c>
      <c r="J355" s="82">
        <v>0</v>
      </c>
      <c r="K355" s="82"/>
      <c r="L355" s="82"/>
      <c r="M355" s="82"/>
      <c r="N355" s="82"/>
      <c r="O355" s="82"/>
      <c r="P355" s="82">
        <v>1</v>
      </c>
      <c r="Q355" s="82"/>
      <c r="R355" s="82">
        <v>200</v>
      </c>
      <c r="S355" s="23"/>
      <c r="T355" s="23"/>
      <c r="U355" s="23">
        <v>4000</v>
      </c>
      <c r="V355" s="7" t="s">
        <v>744</v>
      </c>
      <c r="W355" s="82">
        <f t="shared" ref="W355:W389" si="79">G355-H355</f>
        <v>5021</v>
      </c>
      <c r="Y355" s="4"/>
      <c r="Z355" s="4"/>
      <c r="AA355" s="82">
        <v>0</v>
      </c>
      <c r="AB355" s="82"/>
      <c r="AC355" s="82"/>
      <c r="AD355" s="23"/>
      <c r="AE355" s="7" t="s">
        <v>465</v>
      </c>
      <c r="AH355" s="23">
        <f>SUM('2020 detail'!J355:U355)+'2020 detail'!AA355+'2020 detail'!AB355</f>
        <v>7685</v>
      </c>
      <c r="AJ355" s="23">
        <f t="shared" si="73"/>
        <v>-3484</v>
      </c>
      <c r="AL355" t="str">
        <f t="shared" ref="AL355:AL389" si="80">IF(AJ355&lt;0,"Down",IF(AJ355&gt;0,"Up","Same"))</f>
        <v>Down</v>
      </c>
      <c r="AQ355" s="23">
        <v>4000</v>
      </c>
    </row>
    <row r="356" spans="1:45" x14ac:dyDescent="0.2">
      <c r="A356" s="144" t="s">
        <v>265</v>
      </c>
      <c r="B356" s="9" t="s">
        <v>495</v>
      </c>
      <c r="C356" s="9" t="s">
        <v>495</v>
      </c>
      <c r="D356" s="9" t="s">
        <v>495</v>
      </c>
      <c r="E356" s="9"/>
      <c r="F356" s="9">
        <v>0</v>
      </c>
      <c r="G356" s="83">
        <v>4369</v>
      </c>
      <c r="H356" s="83">
        <f t="shared" si="77"/>
        <v>4369</v>
      </c>
      <c r="I356" s="133">
        <f t="shared" ref="I356:I389" si="81">ROUND((H356/G356),4)</f>
        <v>1</v>
      </c>
      <c r="J356" s="82">
        <v>0</v>
      </c>
      <c r="K356" s="82"/>
      <c r="L356" s="82">
        <v>4369</v>
      </c>
      <c r="M356" s="82"/>
      <c r="N356" s="82"/>
      <c r="O356" s="82"/>
      <c r="P356" s="82"/>
      <c r="Q356" s="82"/>
      <c r="R356" s="82"/>
      <c r="S356" s="23"/>
      <c r="T356" s="23"/>
      <c r="U356" s="23"/>
      <c r="V356" s="7" t="s">
        <v>745</v>
      </c>
      <c r="W356" s="82">
        <f t="shared" si="79"/>
        <v>0</v>
      </c>
      <c r="Y356" s="4"/>
      <c r="AA356" s="82">
        <v>0</v>
      </c>
      <c r="AB356" s="82"/>
      <c r="AC356" s="82"/>
      <c r="AD356" s="23"/>
      <c r="AE356" s="7" t="s">
        <v>465</v>
      </c>
      <c r="AH356" s="23">
        <f>SUM('2020 detail'!J356:U356)+'2020 detail'!AA356+'2020 detail'!AB356</f>
        <v>4369</v>
      </c>
      <c r="AJ356" s="23">
        <f t="shared" si="73"/>
        <v>0</v>
      </c>
      <c r="AL356" t="str">
        <f t="shared" si="80"/>
        <v>Same</v>
      </c>
    </row>
    <row r="357" spans="1:45" x14ac:dyDescent="0.2">
      <c r="A357" s="144" t="s">
        <v>266</v>
      </c>
      <c r="B357" s="9" t="s">
        <v>495</v>
      </c>
      <c r="C357" s="9">
        <v>0</v>
      </c>
      <c r="D357" s="9">
        <v>0</v>
      </c>
      <c r="E357" s="9"/>
      <c r="F357" s="9" t="s">
        <v>495</v>
      </c>
      <c r="G357" s="83">
        <v>2427</v>
      </c>
      <c r="H357" s="83">
        <f t="shared" si="77"/>
        <v>1820.25</v>
      </c>
      <c r="I357" s="133">
        <f t="shared" si="81"/>
        <v>0.75</v>
      </c>
      <c r="J357" s="82">
        <v>202.25</v>
      </c>
      <c r="K357" s="82">
        <v>202.25</v>
      </c>
      <c r="L357" s="82">
        <v>202.25</v>
      </c>
      <c r="M357" s="82">
        <v>202.25</v>
      </c>
      <c r="N357" s="82">
        <v>202.25</v>
      </c>
      <c r="O357" s="82">
        <v>202.25</v>
      </c>
      <c r="P357" s="82">
        <v>202.25</v>
      </c>
      <c r="Q357" s="82">
        <v>202.25</v>
      </c>
      <c r="R357" s="82">
        <v>202.25</v>
      </c>
      <c r="S357" s="23">
        <v>0</v>
      </c>
      <c r="T357" s="23">
        <v>0</v>
      </c>
      <c r="U357" s="23"/>
      <c r="V357" s="7" t="s">
        <v>746</v>
      </c>
      <c r="W357" s="82">
        <f t="shared" si="79"/>
        <v>606.75</v>
      </c>
      <c r="Y357" s="4"/>
      <c r="AA357" s="82">
        <v>0</v>
      </c>
      <c r="AB357" s="82"/>
      <c r="AC357" s="82"/>
      <c r="AD357" s="23"/>
      <c r="AE357" s="7" t="s">
        <v>465</v>
      </c>
      <c r="AH357" s="23">
        <f>SUM('2020 detail'!J357:U357)+'2020 detail'!AA357+'2020 detail'!AB357</f>
        <v>2427</v>
      </c>
      <c r="AJ357" s="23">
        <f t="shared" si="73"/>
        <v>-606.75</v>
      </c>
      <c r="AL357" t="str">
        <f t="shared" si="80"/>
        <v>Down</v>
      </c>
    </row>
    <row r="358" spans="1:45" x14ac:dyDescent="0.2">
      <c r="A358" s="144" t="s">
        <v>267</v>
      </c>
      <c r="B358" s="9" t="s">
        <v>495</v>
      </c>
      <c r="C358" s="9" t="s">
        <v>495</v>
      </c>
      <c r="D358" s="9" t="s">
        <v>495</v>
      </c>
      <c r="E358" s="9"/>
      <c r="F358" s="9">
        <v>0</v>
      </c>
      <c r="G358" s="83">
        <v>6795</v>
      </c>
      <c r="H358" s="83">
        <f t="shared" si="77"/>
        <v>3250</v>
      </c>
      <c r="I358" s="133">
        <f t="shared" si="81"/>
        <v>0.4783</v>
      </c>
      <c r="J358" s="82">
        <v>0</v>
      </c>
      <c r="K358" s="82"/>
      <c r="L358" s="82"/>
      <c r="M358" s="82"/>
      <c r="N358" s="82"/>
      <c r="O358" s="82"/>
      <c r="P358" s="82"/>
      <c r="Q358" s="82"/>
      <c r="R358" s="82"/>
      <c r="S358" s="23"/>
      <c r="T358" s="23"/>
      <c r="U358" s="23">
        <v>3250</v>
      </c>
      <c r="V358" s="7" t="s">
        <v>747</v>
      </c>
      <c r="W358" s="82">
        <f t="shared" si="79"/>
        <v>3545</v>
      </c>
      <c r="Y358" s="4"/>
      <c r="AA358" s="82">
        <v>0</v>
      </c>
      <c r="AB358" s="82"/>
      <c r="AC358" s="82"/>
      <c r="AD358" s="23"/>
      <c r="AE358" s="7" t="s">
        <v>465</v>
      </c>
      <c r="AH358" s="23">
        <f>SUM('2020 detail'!J358:U358)+'2020 detail'!AA358+'2020 detail'!AB358</f>
        <v>6795</v>
      </c>
      <c r="AJ358" s="23">
        <f t="shared" si="73"/>
        <v>-3545</v>
      </c>
      <c r="AL358" t="str">
        <f t="shared" si="80"/>
        <v>Down</v>
      </c>
      <c r="AQ358" s="23">
        <v>3250</v>
      </c>
    </row>
    <row r="359" spans="1:45" x14ac:dyDescent="0.2">
      <c r="A359" s="144" t="s">
        <v>268</v>
      </c>
      <c r="B359" s="9" t="s">
        <v>495</v>
      </c>
      <c r="C359" s="9">
        <v>0</v>
      </c>
      <c r="D359" s="9">
        <v>0</v>
      </c>
      <c r="E359" s="9"/>
      <c r="F359" s="9">
        <v>0</v>
      </c>
      <c r="G359" s="83">
        <v>4853</v>
      </c>
      <c r="H359" s="83">
        <f t="shared" si="77"/>
        <v>3400</v>
      </c>
      <c r="I359" s="133">
        <f t="shared" si="81"/>
        <v>0.7006</v>
      </c>
      <c r="J359" s="82">
        <v>0</v>
      </c>
      <c r="K359" s="82"/>
      <c r="L359" s="82"/>
      <c r="M359" s="82"/>
      <c r="N359" s="82"/>
      <c r="O359" s="82"/>
      <c r="P359" s="82"/>
      <c r="Q359" s="82"/>
      <c r="R359" s="82"/>
      <c r="S359" s="23"/>
      <c r="T359" s="23"/>
      <c r="U359" s="23">
        <v>3400</v>
      </c>
      <c r="V359" s="7" t="s">
        <v>748</v>
      </c>
      <c r="W359" s="82">
        <f t="shared" si="79"/>
        <v>1453</v>
      </c>
      <c r="Y359" s="4"/>
      <c r="AA359" s="82">
        <v>0</v>
      </c>
      <c r="AB359" s="82"/>
      <c r="AC359" s="82"/>
      <c r="AD359" s="23"/>
      <c r="AE359" s="7" t="s">
        <v>465</v>
      </c>
      <c r="AH359" s="23">
        <f>SUM('2020 detail'!J359:U359)+'2020 detail'!AA359+'2020 detail'!AB359</f>
        <v>1100</v>
      </c>
      <c r="AJ359" s="23">
        <f t="shared" si="73"/>
        <v>2300</v>
      </c>
      <c r="AL359" t="str">
        <f t="shared" si="80"/>
        <v>Up</v>
      </c>
      <c r="AQ359" s="23">
        <v>3400</v>
      </c>
    </row>
    <row r="360" spans="1:45" x14ac:dyDescent="0.2">
      <c r="A360" s="144" t="s">
        <v>269</v>
      </c>
      <c r="B360" s="9" t="s">
        <v>495</v>
      </c>
      <c r="C360" s="9" t="s">
        <v>495</v>
      </c>
      <c r="D360" s="9">
        <v>0</v>
      </c>
      <c r="E360" s="9"/>
      <c r="F360" s="9">
        <v>0</v>
      </c>
      <c r="G360" s="83">
        <v>24684</v>
      </c>
      <c r="H360" s="83">
        <f t="shared" si="77"/>
        <v>8000</v>
      </c>
      <c r="I360" s="133">
        <f t="shared" si="81"/>
        <v>0.3241</v>
      </c>
      <c r="J360" s="82">
        <v>500</v>
      </c>
      <c r="K360" s="82">
        <v>500</v>
      </c>
      <c r="L360" s="82">
        <v>500</v>
      </c>
      <c r="M360" s="82">
        <v>500</v>
      </c>
      <c r="N360" s="82">
        <v>500</v>
      </c>
      <c r="O360" s="82">
        <v>500</v>
      </c>
      <c r="P360" s="82">
        <v>500</v>
      </c>
      <c r="Q360" s="82">
        <v>500</v>
      </c>
      <c r="R360" s="82">
        <v>500</v>
      </c>
      <c r="S360" s="23">
        <v>500</v>
      </c>
      <c r="T360" s="23">
        <v>500</v>
      </c>
      <c r="U360" s="23">
        <v>2500</v>
      </c>
      <c r="V360" s="7" t="s">
        <v>749</v>
      </c>
      <c r="W360" s="82">
        <f t="shared" si="79"/>
        <v>16684</v>
      </c>
      <c r="Y360" s="4"/>
      <c r="AA360" s="82">
        <v>0</v>
      </c>
      <c r="AB360" s="82"/>
      <c r="AC360" s="82"/>
      <c r="AD360" s="23"/>
      <c r="AE360" s="7" t="s">
        <v>467</v>
      </c>
      <c r="AH360" s="23">
        <f>SUM('2020 detail'!J360:U360)+'2020 detail'!AA360+'2020 detail'!AB360</f>
        <v>8312</v>
      </c>
      <c r="AJ360" s="23">
        <f t="shared" si="73"/>
        <v>-312</v>
      </c>
      <c r="AL360" t="str">
        <f t="shared" si="80"/>
        <v>Down</v>
      </c>
      <c r="AQ360" s="23">
        <v>2500</v>
      </c>
    </row>
    <row r="361" spans="1:45" x14ac:dyDescent="0.2">
      <c r="A361" s="144" t="s">
        <v>270</v>
      </c>
      <c r="B361" s="9" t="s">
        <v>495</v>
      </c>
      <c r="C361" s="9" t="s">
        <v>495</v>
      </c>
      <c r="D361" s="9">
        <v>0</v>
      </c>
      <c r="E361" s="9"/>
      <c r="F361" s="9">
        <v>0</v>
      </c>
      <c r="G361" s="83">
        <v>5551</v>
      </c>
      <c r="H361" s="83">
        <f t="shared" si="77"/>
        <v>5551</v>
      </c>
      <c r="I361" s="133">
        <f t="shared" si="81"/>
        <v>1</v>
      </c>
      <c r="J361" s="82">
        <v>0</v>
      </c>
      <c r="K361" s="82"/>
      <c r="L361" s="82"/>
      <c r="M361" s="82"/>
      <c r="N361" s="82"/>
      <c r="O361" s="82"/>
      <c r="P361" s="82"/>
      <c r="Q361" s="82"/>
      <c r="R361" s="82">
        <v>3000</v>
      </c>
      <c r="S361" s="23"/>
      <c r="T361" s="23"/>
      <c r="U361" s="23">
        <v>2551</v>
      </c>
      <c r="V361" s="7" t="s">
        <v>750</v>
      </c>
      <c r="W361" s="82">
        <f t="shared" si="79"/>
        <v>0</v>
      </c>
      <c r="Y361" s="4"/>
      <c r="AA361" s="82">
        <v>0</v>
      </c>
      <c r="AB361" s="82"/>
      <c r="AC361" s="82"/>
      <c r="AD361" s="23"/>
      <c r="AE361" s="7" t="s">
        <v>467</v>
      </c>
      <c r="AH361" s="23">
        <f>SUM('2020 detail'!J361:U361)+'2020 detail'!AA361+'2020 detail'!AB361</f>
        <v>5551</v>
      </c>
      <c r="AJ361" s="23">
        <f t="shared" si="73"/>
        <v>0</v>
      </c>
      <c r="AL361" t="str">
        <f t="shared" si="80"/>
        <v>Same</v>
      </c>
      <c r="AQ361" s="23">
        <v>2551</v>
      </c>
    </row>
    <row r="362" spans="1:45" x14ac:dyDescent="0.2">
      <c r="A362" s="144" t="s">
        <v>271</v>
      </c>
      <c r="B362" s="9" t="s">
        <v>495</v>
      </c>
      <c r="C362" s="9" t="s">
        <v>495</v>
      </c>
      <c r="D362" s="9">
        <v>0</v>
      </c>
      <c r="E362" s="9"/>
      <c r="F362" s="9">
        <v>0</v>
      </c>
      <c r="G362" s="83">
        <v>4478</v>
      </c>
      <c r="H362" s="83">
        <f t="shared" si="77"/>
        <v>4478</v>
      </c>
      <c r="I362" s="133">
        <f t="shared" si="81"/>
        <v>1</v>
      </c>
      <c r="J362" s="82">
        <v>0</v>
      </c>
      <c r="K362" s="82"/>
      <c r="L362" s="82"/>
      <c r="M362" s="82"/>
      <c r="N362" s="82"/>
      <c r="O362" s="82"/>
      <c r="P362" s="82"/>
      <c r="Q362" s="82"/>
      <c r="R362" s="82"/>
      <c r="S362" s="23"/>
      <c r="T362" s="23">
        <v>4478</v>
      </c>
      <c r="U362" s="23"/>
      <c r="V362" s="7" t="s">
        <v>751</v>
      </c>
      <c r="W362" s="82">
        <f t="shared" si="79"/>
        <v>0</v>
      </c>
      <c r="Y362" s="4"/>
      <c r="AA362" s="82">
        <v>0</v>
      </c>
      <c r="AB362" s="82"/>
      <c r="AC362" s="82"/>
      <c r="AD362" s="23"/>
      <c r="AE362" s="7" t="s">
        <v>467</v>
      </c>
      <c r="AH362" s="23">
        <f>SUM('2020 detail'!J362:U362)+'2020 detail'!AA362+'2020 detail'!AB362</f>
        <v>4478</v>
      </c>
      <c r="AJ362" s="23">
        <f t="shared" si="73"/>
        <v>0</v>
      </c>
      <c r="AL362" t="str">
        <f t="shared" si="80"/>
        <v>Same</v>
      </c>
    </row>
    <row r="363" spans="1:45" x14ac:dyDescent="0.2">
      <c r="A363" s="144" t="s">
        <v>272</v>
      </c>
      <c r="B363" s="9">
        <v>0</v>
      </c>
      <c r="C363" s="9">
        <v>0</v>
      </c>
      <c r="D363" s="9">
        <v>0</v>
      </c>
      <c r="E363" s="9"/>
      <c r="F363" s="9" t="s">
        <v>495</v>
      </c>
      <c r="G363" s="83">
        <v>13480</v>
      </c>
      <c r="H363" s="83">
        <f t="shared" si="77"/>
        <v>6740</v>
      </c>
      <c r="I363" s="133">
        <f t="shared" si="81"/>
        <v>0.5</v>
      </c>
      <c r="J363" s="82">
        <v>3370</v>
      </c>
      <c r="K363" s="82"/>
      <c r="L363" s="82"/>
      <c r="M363" s="82"/>
      <c r="N363" s="82"/>
      <c r="O363" s="82"/>
      <c r="P363" s="82">
        <v>3370</v>
      </c>
      <c r="Q363" s="82"/>
      <c r="R363" s="82"/>
      <c r="S363" s="23"/>
      <c r="T363" s="23"/>
      <c r="U363" s="23"/>
      <c r="V363" s="7" t="s">
        <v>752</v>
      </c>
      <c r="W363" s="82">
        <f t="shared" si="79"/>
        <v>6740</v>
      </c>
      <c r="Y363" s="4"/>
      <c r="AA363" s="82">
        <v>0</v>
      </c>
      <c r="AB363" s="82"/>
      <c r="AC363" s="82"/>
      <c r="AD363" s="23"/>
      <c r="AE363" s="7" t="s">
        <v>466</v>
      </c>
      <c r="AH363" s="23">
        <f>SUM('2020 detail'!J363:U363)+'2020 detail'!AA363+'2020 detail'!AB363</f>
        <v>13480</v>
      </c>
      <c r="AJ363" s="23">
        <f t="shared" si="73"/>
        <v>-6740</v>
      </c>
      <c r="AL363" t="str">
        <f t="shared" si="80"/>
        <v>Down</v>
      </c>
    </row>
    <row r="364" spans="1:45" x14ac:dyDescent="0.2">
      <c r="A364" s="144" t="s">
        <v>273</v>
      </c>
      <c r="B364" s="9">
        <v>0</v>
      </c>
      <c r="C364" s="9">
        <v>0</v>
      </c>
      <c r="D364" s="9">
        <v>0</v>
      </c>
      <c r="E364" s="9"/>
      <c r="F364" s="9">
        <v>0</v>
      </c>
      <c r="G364" s="83">
        <v>6336</v>
      </c>
      <c r="H364" s="83">
        <f t="shared" si="77"/>
        <v>6338</v>
      </c>
      <c r="I364" s="133">
        <f t="shared" si="81"/>
        <v>1.0003</v>
      </c>
      <c r="J364" s="82">
        <v>0</v>
      </c>
      <c r="K364" s="82"/>
      <c r="L364" s="82"/>
      <c r="M364" s="82"/>
      <c r="N364" s="82">
        <v>2000</v>
      </c>
      <c r="O364" s="82"/>
      <c r="P364" s="82"/>
      <c r="Q364" s="82">
        <v>2000</v>
      </c>
      <c r="R364" s="82"/>
      <c r="S364" s="23"/>
      <c r="T364" s="23">
        <v>2338</v>
      </c>
      <c r="U364" s="23"/>
      <c r="V364" s="7" t="s">
        <v>753</v>
      </c>
      <c r="W364" s="82">
        <f t="shared" si="79"/>
        <v>-2</v>
      </c>
      <c r="Y364" s="4"/>
      <c r="AA364" s="82">
        <v>0</v>
      </c>
      <c r="AB364" s="82"/>
      <c r="AC364" s="82"/>
      <c r="AD364" s="23"/>
      <c r="AE364" s="7" t="s">
        <v>468</v>
      </c>
      <c r="AH364" s="23">
        <f>SUM('2020 detail'!J364:U364)+'2020 detail'!AA364+'2020 detail'!AB364</f>
        <v>0</v>
      </c>
      <c r="AJ364" s="23">
        <f t="shared" si="73"/>
        <v>6338</v>
      </c>
      <c r="AL364" t="str">
        <f t="shared" si="80"/>
        <v>Up</v>
      </c>
    </row>
    <row r="365" spans="1:45" x14ac:dyDescent="0.2">
      <c r="A365" s="144" t="s">
        <v>274</v>
      </c>
      <c r="B365" s="9" t="s">
        <v>495</v>
      </c>
      <c r="C365" s="9">
        <v>0</v>
      </c>
      <c r="D365" s="9">
        <v>0</v>
      </c>
      <c r="E365" s="9"/>
      <c r="F365" s="9" t="s">
        <v>495</v>
      </c>
      <c r="G365" s="83">
        <v>15340</v>
      </c>
      <c r="H365" s="83">
        <f t="shared" si="77"/>
        <v>15339.999999999998</v>
      </c>
      <c r="I365" s="133">
        <f t="shared" si="81"/>
        <v>1</v>
      </c>
      <c r="J365" s="82">
        <v>1278.3699999999999</v>
      </c>
      <c r="K365" s="82">
        <v>1278.33</v>
      </c>
      <c r="L365" s="82">
        <v>1278.33</v>
      </c>
      <c r="M365" s="82">
        <v>1278.33</v>
      </c>
      <c r="N365" s="82">
        <v>1278.33</v>
      </c>
      <c r="O365" s="82">
        <v>1278.33</v>
      </c>
      <c r="P365" s="82">
        <v>1278.33</v>
      </c>
      <c r="Q365" s="82">
        <v>1278.33</v>
      </c>
      <c r="R365" s="82">
        <v>1278.33</v>
      </c>
      <c r="S365" s="23">
        <v>1278.33</v>
      </c>
      <c r="T365" s="23">
        <v>1278.33</v>
      </c>
      <c r="U365" s="23">
        <v>1278.33</v>
      </c>
      <c r="V365" s="7" t="s">
        <v>754</v>
      </c>
      <c r="W365" s="82">
        <f t="shared" si="79"/>
        <v>0</v>
      </c>
      <c r="Y365" s="4"/>
      <c r="AA365" s="82">
        <v>0</v>
      </c>
      <c r="AB365" s="82"/>
      <c r="AC365" s="82"/>
      <c r="AD365" s="23"/>
      <c r="AE365" s="7" t="s">
        <v>466</v>
      </c>
      <c r="AH365" s="23">
        <f>SUM('2020 detail'!J365:U365)+'2020 detail'!AA365+'2020 detail'!AB365</f>
        <v>15339.999999999998</v>
      </c>
      <c r="AJ365" s="23">
        <f t="shared" si="73"/>
        <v>0</v>
      </c>
      <c r="AL365" t="str">
        <f t="shared" si="80"/>
        <v>Same</v>
      </c>
      <c r="AQ365" s="23">
        <v>1278.33</v>
      </c>
    </row>
    <row r="366" spans="1:45" x14ac:dyDescent="0.2">
      <c r="A366" s="144" t="s">
        <v>275</v>
      </c>
      <c r="B366" s="9">
        <v>0</v>
      </c>
      <c r="C366" s="9" t="s">
        <v>495</v>
      </c>
      <c r="D366" s="9" t="s">
        <v>495</v>
      </c>
      <c r="E366" s="9"/>
      <c r="F366" s="9" t="s">
        <v>495</v>
      </c>
      <c r="G366" s="83">
        <v>21600</v>
      </c>
      <c r="H366" s="83">
        <f t="shared" si="77"/>
        <v>14700</v>
      </c>
      <c r="I366" s="133">
        <f t="shared" si="81"/>
        <v>0.68059999999999998</v>
      </c>
      <c r="J366" s="82">
        <v>1200</v>
      </c>
      <c r="K366" s="82">
        <v>2000</v>
      </c>
      <c r="L366" s="82"/>
      <c r="M366" s="82"/>
      <c r="N366" s="82">
        <v>2000</v>
      </c>
      <c r="O366" s="82"/>
      <c r="P366" s="82"/>
      <c r="Q366" s="82">
        <v>2000</v>
      </c>
      <c r="R366" s="82">
        <v>2000</v>
      </c>
      <c r="S366" s="23">
        <v>0</v>
      </c>
      <c r="T366" s="23">
        <v>0</v>
      </c>
      <c r="U366" s="23">
        <v>5500</v>
      </c>
      <c r="V366" s="7" t="s">
        <v>755</v>
      </c>
      <c r="W366" s="82">
        <f t="shared" si="79"/>
        <v>6900</v>
      </c>
      <c r="Y366" s="4"/>
      <c r="AA366" s="82">
        <v>0</v>
      </c>
      <c r="AB366" s="82"/>
      <c r="AC366" s="82"/>
      <c r="AD366" s="23"/>
      <c r="AE366" s="7" t="s">
        <v>471</v>
      </c>
      <c r="AH366" s="23">
        <f>SUM('2020 detail'!J366:U366)+'2020 detail'!AA366+'2020 detail'!AB366</f>
        <v>13000</v>
      </c>
      <c r="AJ366" s="23">
        <f t="shared" si="73"/>
        <v>1700</v>
      </c>
      <c r="AL366" t="str">
        <f t="shared" si="80"/>
        <v>Up</v>
      </c>
      <c r="AQ366" s="23">
        <v>5500</v>
      </c>
      <c r="AS366" t="s">
        <v>1110</v>
      </c>
    </row>
    <row r="367" spans="1:45" x14ac:dyDescent="0.2">
      <c r="A367" s="144" t="s">
        <v>276</v>
      </c>
      <c r="B367" s="9">
        <v>0</v>
      </c>
      <c r="C367" s="9">
        <v>0</v>
      </c>
      <c r="D367" s="9">
        <v>0</v>
      </c>
      <c r="E367" s="9"/>
      <c r="F367" s="9" t="s">
        <v>495</v>
      </c>
      <c r="G367" s="83">
        <v>10050</v>
      </c>
      <c r="H367" s="83">
        <f t="shared" si="77"/>
        <v>10050</v>
      </c>
      <c r="I367" s="133">
        <f t="shared" si="81"/>
        <v>1</v>
      </c>
      <c r="J367" s="82">
        <v>0</v>
      </c>
      <c r="K367" s="82"/>
      <c r="L367" s="82"/>
      <c r="M367" s="82"/>
      <c r="N367" s="82"/>
      <c r="O367" s="82">
        <v>2000</v>
      </c>
      <c r="P367" s="82"/>
      <c r="Q367" s="82"/>
      <c r="R367" s="82">
        <v>2000</v>
      </c>
      <c r="S367" s="23"/>
      <c r="T367" s="23">
        <v>2000</v>
      </c>
      <c r="U367" s="23">
        <v>4050</v>
      </c>
      <c r="V367" s="7" t="s">
        <v>756</v>
      </c>
      <c r="W367" s="82">
        <f t="shared" si="79"/>
        <v>0</v>
      </c>
      <c r="Y367" s="4"/>
      <c r="AA367" s="82">
        <v>0</v>
      </c>
      <c r="AB367" s="82"/>
      <c r="AC367" s="82"/>
      <c r="AD367" s="23"/>
      <c r="AE367" s="7" t="s">
        <v>471</v>
      </c>
      <c r="AH367" s="23">
        <f>SUM('2020 detail'!J367:U367)+'2020 detail'!AA367+'2020 detail'!AB367</f>
        <v>4775</v>
      </c>
      <c r="AJ367" s="23">
        <f t="shared" si="73"/>
        <v>5275</v>
      </c>
      <c r="AL367" t="str">
        <f t="shared" si="80"/>
        <v>Up</v>
      </c>
      <c r="AQ367" s="23">
        <v>4050</v>
      </c>
    </row>
    <row r="368" spans="1:45" x14ac:dyDescent="0.2">
      <c r="A368" s="144" t="s">
        <v>277</v>
      </c>
      <c r="B368" s="9">
        <v>0</v>
      </c>
      <c r="C368" s="9">
        <v>0</v>
      </c>
      <c r="D368" s="9" t="s">
        <v>495</v>
      </c>
      <c r="E368" s="9"/>
      <c r="F368" s="9">
        <v>0</v>
      </c>
      <c r="G368" s="83">
        <v>13350</v>
      </c>
      <c r="H368" s="83">
        <f t="shared" si="77"/>
        <v>0</v>
      </c>
      <c r="I368" s="133">
        <f t="shared" si="81"/>
        <v>0</v>
      </c>
      <c r="J368" s="82">
        <v>0</v>
      </c>
      <c r="K368" s="82"/>
      <c r="L368" s="82"/>
      <c r="M368" s="82"/>
      <c r="N368" s="82"/>
      <c r="O368" s="82"/>
      <c r="P368" s="82"/>
      <c r="Q368" s="82"/>
      <c r="R368" s="82"/>
      <c r="S368" s="23"/>
      <c r="T368" s="23"/>
      <c r="U368" s="23"/>
      <c r="V368" s="7" t="s">
        <v>757</v>
      </c>
      <c r="W368" s="82">
        <f t="shared" si="79"/>
        <v>13350</v>
      </c>
      <c r="Y368" s="4"/>
      <c r="AA368" s="82">
        <v>0</v>
      </c>
      <c r="AB368" s="82"/>
      <c r="AC368" s="82"/>
      <c r="AD368" s="23"/>
      <c r="AE368" s="7" t="s">
        <v>471</v>
      </c>
      <c r="AH368" s="23">
        <f>SUM('2020 detail'!J368:U368)+'2020 detail'!AA368+'2020 detail'!AB368</f>
        <v>5000</v>
      </c>
      <c r="AJ368" s="23">
        <f t="shared" si="73"/>
        <v>-5000</v>
      </c>
      <c r="AL368" t="str">
        <f t="shared" si="80"/>
        <v>Down</v>
      </c>
    </row>
    <row r="369" spans="1:43" x14ac:dyDescent="0.2">
      <c r="A369" s="144" t="s">
        <v>278</v>
      </c>
      <c r="B369" s="9" t="s">
        <v>495</v>
      </c>
      <c r="C369" s="9" t="s">
        <v>495</v>
      </c>
      <c r="D369" s="9" t="s">
        <v>495</v>
      </c>
      <c r="E369" s="9"/>
      <c r="F369" s="9" t="s">
        <v>495</v>
      </c>
      <c r="G369" s="83">
        <v>128728</v>
      </c>
      <c r="H369" s="83">
        <f t="shared" si="77"/>
        <v>128728.00000000001</v>
      </c>
      <c r="I369" s="133">
        <f t="shared" si="81"/>
        <v>1</v>
      </c>
      <c r="J369" s="82">
        <v>10727.37</v>
      </c>
      <c r="K369" s="82">
        <v>10727.33</v>
      </c>
      <c r="L369" s="82">
        <v>10727.33</v>
      </c>
      <c r="M369" s="82">
        <v>10727.33</v>
      </c>
      <c r="N369" s="82">
        <v>10727.33</v>
      </c>
      <c r="O369" s="82">
        <v>10727.33</v>
      </c>
      <c r="P369" s="82">
        <v>10727.33</v>
      </c>
      <c r="Q369" s="82">
        <v>10727.33</v>
      </c>
      <c r="R369" s="82">
        <v>10727.33</v>
      </c>
      <c r="S369" s="23">
        <v>10727.33</v>
      </c>
      <c r="T369" s="23">
        <v>10727.33</v>
      </c>
      <c r="U369" s="23">
        <v>10727.33</v>
      </c>
      <c r="V369" s="7" t="s">
        <v>758</v>
      </c>
      <c r="W369" s="82">
        <f t="shared" si="79"/>
        <v>0</v>
      </c>
      <c r="Y369" s="4"/>
      <c r="AA369" s="82">
        <v>0</v>
      </c>
      <c r="AB369" s="82"/>
      <c r="AC369" s="82"/>
      <c r="AD369" s="23"/>
      <c r="AE369" s="7" t="s">
        <v>466</v>
      </c>
      <c r="AH369" s="23">
        <f>SUM('2020 detail'!J369:U369)+'2020 detail'!AA369+'2020 detail'!AB369</f>
        <v>128728.00000000001</v>
      </c>
      <c r="AJ369" s="23">
        <f t="shared" si="73"/>
        <v>0</v>
      </c>
      <c r="AL369" t="str">
        <f t="shared" si="80"/>
        <v>Same</v>
      </c>
      <c r="AQ369" s="23">
        <v>10727.33</v>
      </c>
    </row>
    <row r="370" spans="1:43" x14ac:dyDescent="0.2">
      <c r="A370" s="144" t="s">
        <v>279</v>
      </c>
      <c r="B370" s="9" t="s">
        <v>495</v>
      </c>
      <c r="C370" s="9" t="s">
        <v>495</v>
      </c>
      <c r="D370" s="9">
        <v>0</v>
      </c>
      <c r="E370" s="9"/>
      <c r="F370" s="9">
        <v>0</v>
      </c>
      <c r="G370" s="83">
        <v>19898</v>
      </c>
      <c r="H370" s="83">
        <f t="shared" si="77"/>
        <v>19898</v>
      </c>
      <c r="I370" s="133">
        <f t="shared" si="81"/>
        <v>1</v>
      </c>
      <c r="J370" s="82">
        <v>0</v>
      </c>
      <c r="K370" s="82"/>
      <c r="L370" s="82">
        <v>3000</v>
      </c>
      <c r="M370" s="82"/>
      <c r="N370" s="82"/>
      <c r="O370" s="82"/>
      <c r="P370" s="82">
        <v>3000</v>
      </c>
      <c r="Q370" s="82"/>
      <c r="R370" s="82"/>
      <c r="S370" s="23">
        <v>5000</v>
      </c>
      <c r="T370" s="23">
        <v>4000</v>
      </c>
      <c r="U370" s="23">
        <v>4898</v>
      </c>
      <c r="V370" s="7" t="s">
        <v>759</v>
      </c>
      <c r="W370" s="82">
        <f t="shared" si="79"/>
        <v>0</v>
      </c>
      <c r="Y370" s="4"/>
      <c r="AA370" s="82">
        <v>0</v>
      </c>
      <c r="AB370" s="82"/>
      <c r="AC370" s="82"/>
      <c r="AD370" s="23"/>
      <c r="AE370" s="7" t="s">
        <v>467</v>
      </c>
      <c r="AH370" s="23">
        <f>SUM('2020 detail'!J370:U370)+'2020 detail'!AA370+'2020 detail'!AB370</f>
        <v>19898</v>
      </c>
      <c r="AJ370" s="23">
        <f t="shared" si="73"/>
        <v>0</v>
      </c>
      <c r="AL370" t="str">
        <f t="shared" si="80"/>
        <v>Same</v>
      </c>
      <c r="AQ370" s="23">
        <v>4898</v>
      </c>
    </row>
    <row r="371" spans="1:43" x14ac:dyDescent="0.2">
      <c r="A371" s="144" t="s">
        <v>280</v>
      </c>
      <c r="B371" s="9" t="s">
        <v>495</v>
      </c>
      <c r="C371" s="9" t="s">
        <v>495</v>
      </c>
      <c r="D371" s="9" t="s">
        <v>495</v>
      </c>
      <c r="E371" s="9"/>
      <c r="F371" s="9">
        <v>0</v>
      </c>
      <c r="G371" s="83">
        <v>7219</v>
      </c>
      <c r="H371" s="83">
        <f t="shared" si="77"/>
        <v>7219</v>
      </c>
      <c r="I371" s="133">
        <f t="shared" si="81"/>
        <v>1</v>
      </c>
      <c r="J371" s="82">
        <v>0</v>
      </c>
      <c r="K371" s="82"/>
      <c r="L371" s="82"/>
      <c r="M371" s="82"/>
      <c r="N371" s="82"/>
      <c r="O371" s="82">
        <v>3500</v>
      </c>
      <c r="P371" s="82"/>
      <c r="Q371" s="82"/>
      <c r="R371" s="82"/>
      <c r="S371" s="23">
        <v>3719</v>
      </c>
      <c r="T371" s="23"/>
      <c r="U371" s="23"/>
      <c r="V371" s="7" t="s">
        <v>760</v>
      </c>
      <c r="W371" s="82">
        <f t="shared" si="79"/>
        <v>0</v>
      </c>
      <c r="Y371" s="4"/>
      <c r="AA371" s="82">
        <v>0</v>
      </c>
      <c r="AB371" s="82"/>
      <c r="AC371" s="82"/>
      <c r="AD371" s="23"/>
      <c r="AE371" s="7" t="s">
        <v>467</v>
      </c>
      <c r="AH371" s="23">
        <f>SUM('2020 detail'!J371:U371)+'2020 detail'!AA371+'2020 detail'!AB371</f>
        <v>7219</v>
      </c>
      <c r="AJ371" s="23">
        <f t="shared" si="73"/>
        <v>0</v>
      </c>
      <c r="AL371" t="str">
        <f t="shared" si="80"/>
        <v>Same</v>
      </c>
    </row>
    <row r="372" spans="1:43" x14ac:dyDescent="0.2">
      <c r="A372" s="144" t="s">
        <v>281</v>
      </c>
      <c r="B372" s="9" t="s">
        <v>495</v>
      </c>
      <c r="C372" s="9" t="s">
        <v>495</v>
      </c>
      <c r="D372" s="9">
        <v>0</v>
      </c>
      <c r="E372" s="9"/>
      <c r="F372" s="9" t="s">
        <v>495</v>
      </c>
      <c r="G372" s="83">
        <v>5013</v>
      </c>
      <c r="H372" s="83">
        <f t="shared" si="77"/>
        <v>4511.7</v>
      </c>
      <c r="I372" s="133">
        <f t="shared" si="81"/>
        <v>0.9</v>
      </c>
      <c r="J372" s="82">
        <v>200</v>
      </c>
      <c r="K372" s="82">
        <v>200</v>
      </c>
      <c r="L372" s="82">
        <v>200</v>
      </c>
      <c r="M372" s="82">
        <v>200</v>
      </c>
      <c r="N372" s="82">
        <v>200</v>
      </c>
      <c r="O372" s="82">
        <v>200</v>
      </c>
      <c r="P372" s="82">
        <v>200</v>
      </c>
      <c r="Q372" s="82">
        <v>200</v>
      </c>
      <c r="R372" s="82">
        <v>200</v>
      </c>
      <c r="S372" s="23">
        <v>200</v>
      </c>
      <c r="T372" s="23">
        <v>200</v>
      </c>
      <c r="U372" s="23">
        <v>2311.6999999999998</v>
      </c>
      <c r="V372" s="7" t="s">
        <v>761</v>
      </c>
      <c r="W372" s="82">
        <f t="shared" si="79"/>
        <v>501.30000000000018</v>
      </c>
      <c r="Y372" s="4"/>
      <c r="AA372" s="82">
        <v>0</v>
      </c>
      <c r="AB372" s="82"/>
      <c r="AC372" s="82"/>
      <c r="AD372" s="23"/>
      <c r="AE372" s="7" t="s">
        <v>467</v>
      </c>
      <c r="AH372" s="23">
        <f>SUM('2020 detail'!J372:U372)+'2020 detail'!AA372+'2020 detail'!AB372</f>
        <v>4013</v>
      </c>
      <c r="AJ372" s="23">
        <f t="shared" si="73"/>
        <v>498.69999999999982</v>
      </c>
      <c r="AL372" t="str">
        <f t="shared" si="80"/>
        <v>Up</v>
      </c>
      <c r="AQ372" s="23">
        <v>2311.6999999999998</v>
      </c>
    </row>
    <row r="373" spans="1:43" x14ac:dyDescent="0.2">
      <c r="A373" s="144" t="s">
        <v>282</v>
      </c>
      <c r="B373" s="9" t="s">
        <v>495</v>
      </c>
      <c r="C373" s="9">
        <v>0</v>
      </c>
      <c r="D373" s="9">
        <v>0</v>
      </c>
      <c r="E373" s="9"/>
      <c r="F373" s="9">
        <v>0</v>
      </c>
      <c r="G373" s="83">
        <v>6336</v>
      </c>
      <c r="H373" s="83">
        <f t="shared" si="77"/>
        <v>6336</v>
      </c>
      <c r="I373" s="133">
        <f t="shared" si="81"/>
        <v>1</v>
      </c>
      <c r="J373" s="82">
        <v>0</v>
      </c>
      <c r="K373" s="82"/>
      <c r="L373" s="82"/>
      <c r="M373" s="82"/>
      <c r="N373" s="82"/>
      <c r="O373" s="82">
        <v>1200</v>
      </c>
      <c r="P373" s="82"/>
      <c r="Q373" s="82">
        <v>1200</v>
      </c>
      <c r="R373" s="82"/>
      <c r="S373" s="23"/>
      <c r="T373" s="23"/>
      <c r="U373" s="23">
        <v>3936</v>
      </c>
      <c r="V373" s="7" t="s">
        <v>762</v>
      </c>
      <c r="W373" s="82">
        <f t="shared" si="79"/>
        <v>0</v>
      </c>
      <c r="Y373" s="4"/>
      <c r="AA373" s="82">
        <v>0</v>
      </c>
      <c r="AB373" s="82"/>
      <c r="AC373" s="82"/>
      <c r="AD373" s="23"/>
      <c r="AE373" s="7" t="s">
        <v>468</v>
      </c>
      <c r="AH373" s="23">
        <f>SUM('2020 detail'!J373:U373)+'2020 detail'!AA373+'2020 detail'!AB373</f>
        <v>1800</v>
      </c>
      <c r="AJ373" s="23">
        <f t="shared" si="73"/>
        <v>4536</v>
      </c>
      <c r="AL373" t="str">
        <f t="shared" si="80"/>
        <v>Up</v>
      </c>
      <c r="AQ373" s="23">
        <v>3936</v>
      </c>
    </row>
    <row r="374" spans="1:43" x14ac:dyDescent="0.2">
      <c r="A374" s="144" t="s">
        <v>283</v>
      </c>
      <c r="B374" s="9">
        <v>0</v>
      </c>
      <c r="C374" s="9" t="s">
        <v>495</v>
      </c>
      <c r="D374" s="9">
        <v>0</v>
      </c>
      <c r="E374" s="9"/>
      <c r="F374" s="9">
        <v>0</v>
      </c>
      <c r="G374" s="83">
        <v>6336</v>
      </c>
      <c r="H374" s="83">
        <f t="shared" si="77"/>
        <v>6336</v>
      </c>
      <c r="I374" s="133">
        <f t="shared" si="81"/>
        <v>1</v>
      </c>
      <c r="J374" s="82">
        <v>0</v>
      </c>
      <c r="K374" s="82"/>
      <c r="L374" s="82"/>
      <c r="M374" s="82"/>
      <c r="N374" s="82"/>
      <c r="O374" s="82"/>
      <c r="P374" s="82"/>
      <c r="Q374" s="82">
        <v>3168</v>
      </c>
      <c r="R374" s="82"/>
      <c r="S374" s="23"/>
      <c r="T374" s="23">
        <v>3168</v>
      </c>
      <c r="U374" s="23"/>
      <c r="V374" s="7" t="s">
        <v>763</v>
      </c>
      <c r="W374" s="82">
        <f t="shared" si="79"/>
        <v>0</v>
      </c>
      <c r="Y374" s="4"/>
      <c r="AA374" s="82">
        <v>0</v>
      </c>
      <c r="AB374" s="82"/>
      <c r="AC374" s="82"/>
      <c r="AD374" s="23"/>
      <c r="AE374" s="7" t="s">
        <v>468</v>
      </c>
      <c r="AH374" s="23">
        <f>SUM('2020 detail'!J374:U374)+'2020 detail'!AA374+'2020 detail'!AB374</f>
        <v>1056</v>
      </c>
      <c r="AJ374" s="23">
        <f t="shared" si="73"/>
        <v>5280</v>
      </c>
      <c r="AL374" t="str">
        <f t="shared" si="80"/>
        <v>Up</v>
      </c>
    </row>
    <row r="375" spans="1:43" x14ac:dyDescent="0.2">
      <c r="A375" s="144" t="s">
        <v>284</v>
      </c>
      <c r="B375" s="9" t="s">
        <v>495</v>
      </c>
      <c r="C375" s="9" t="s">
        <v>495</v>
      </c>
      <c r="D375" s="9">
        <v>0</v>
      </c>
      <c r="E375" s="9"/>
      <c r="F375" s="9">
        <v>0</v>
      </c>
      <c r="G375" s="83">
        <v>10722</v>
      </c>
      <c r="H375" s="83">
        <f t="shared" si="77"/>
        <v>10722</v>
      </c>
      <c r="I375" s="133">
        <f t="shared" si="81"/>
        <v>1</v>
      </c>
      <c r="J375" s="82">
        <v>0</v>
      </c>
      <c r="K375" s="82"/>
      <c r="L375" s="82"/>
      <c r="M375" s="82"/>
      <c r="N375" s="82"/>
      <c r="O375" s="82"/>
      <c r="P375" s="82"/>
      <c r="Q375" s="82"/>
      <c r="R375" s="82"/>
      <c r="S375" s="23"/>
      <c r="T375" s="23"/>
      <c r="U375" s="23">
        <v>10722</v>
      </c>
      <c r="V375" s="7" t="s">
        <v>764</v>
      </c>
      <c r="W375" s="82">
        <f t="shared" si="79"/>
        <v>0</v>
      </c>
      <c r="Y375" s="4"/>
      <c r="AA375" s="82">
        <v>0</v>
      </c>
      <c r="AB375" s="82"/>
      <c r="AC375" s="82"/>
      <c r="AD375" s="23"/>
      <c r="AE375" s="7" t="s">
        <v>468</v>
      </c>
      <c r="AH375" s="23">
        <f>SUM('2020 detail'!J375:U375)+'2020 detail'!AA375+'2020 detail'!AB375</f>
        <v>10722</v>
      </c>
      <c r="AJ375" s="23">
        <f t="shared" si="73"/>
        <v>0</v>
      </c>
      <c r="AL375" t="str">
        <f t="shared" si="80"/>
        <v>Same</v>
      </c>
      <c r="AQ375" s="23">
        <v>10722</v>
      </c>
    </row>
    <row r="376" spans="1:43" x14ac:dyDescent="0.2">
      <c r="A376" s="144" t="s">
        <v>285</v>
      </c>
      <c r="B376" s="9">
        <v>0</v>
      </c>
      <c r="C376" s="9">
        <v>0</v>
      </c>
      <c r="D376" s="9">
        <v>0</v>
      </c>
      <c r="E376" s="9"/>
      <c r="F376" s="9" t="s">
        <v>495</v>
      </c>
      <c r="G376" s="83">
        <v>19005</v>
      </c>
      <c r="H376" s="83">
        <f t="shared" si="77"/>
        <v>14400</v>
      </c>
      <c r="I376" s="133">
        <f t="shared" si="81"/>
        <v>0.75770000000000004</v>
      </c>
      <c r="J376" s="82">
        <v>1600</v>
      </c>
      <c r="K376" s="82"/>
      <c r="L376" s="82">
        <v>1600</v>
      </c>
      <c r="M376" s="82">
        <v>0</v>
      </c>
      <c r="N376" s="82">
        <v>0</v>
      </c>
      <c r="O376" s="82">
        <v>1600</v>
      </c>
      <c r="P376" s="82">
        <v>1600</v>
      </c>
      <c r="Q376" s="82">
        <v>1600</v>
      </c>
      <c r="R376" s="82">
        <v>1600</v>
      </c>
      <c r="S376" s="23">
        <v>1600</v>
      </c>
      <c r="T376" s="23">
        <v>1600</v>
      </c>
      <c r="U376" s="23">
        <v>1600</v>
      </c>
      <c r="V376" s="7" t="s">
        <v>765</v>
      </c>
      <c r="W376" s="82">
        <f t="shared" si="79"/>
        <v>4605</v>
      </c>
      <c r="Y376" s="4"/>
      <c r="AA376" s="82">
        <v>0</v>
      </c>
      <c r="AB376" s="82"/>
      <c r="AC376" s="82"/>
      <c r="AD376" s="23"/>
      <c r="AE376" s="7" t="s">
        <v>468</v>
      </c>
      <c r="AH376" s="23">
        <f>SUM('2020 detail'!J376:U376)+'2020 detail'!AA376+'2020 detail'!AB376</f>
        <v>14205</v>
      </c>
      <c r="AJ376" s="23">
        <f t="shared" si="73"/>
        <v>195</v>
      </c>
      <c r="AL376" t="str">
        <f t="shared" si="80"/>
        <v>Up</v>
      </c>
      <c r="AQ376" s="23">
        <v>1600</v>
      </c>
    </row>
    <row r="377" spans="1:43" x14ac:dyDescent="0.2">
      <c r="A377" s="144" t="s">
        <v>286</v>
      </c>
      <c r="B377" s="9">
        <v>0</v>
      </c>
      <c r="C377" s="9">
        <v>0</v>
      </c>
      <c r="D377" s="9">
        <v>0</v>
      </c>
      <c r="E377" s="9"/>
      <c r="F377" s="9" t="s">
        <v>495</v>
      </c>
      <c r="G377" s="83">
        <v>1456</v>
      </c>
      <c r="H377" s="83">
        <f t="shared" si="77"/>
        <v>1456.05</v>
      </c>
      <c r="I377" s="133">
        <f t="shared" si="81"/>
        <v>1</v>
      </c>
      <c r="J377" s="82">
        <v>20</v>
      </c>
      <c r="K377" s="82">
        <v>20</v>
      </c>
      <c r="L377" s="82">
        <v>20</v>
      </c>
      <c r="M377" s="82">
        <v>20</v>
      </c>
      <c r="N377" s="82">
        <v>20</v>
      </c>
      <c r="O377" s="82">
        <v>220</v>
      </c>
      <c r="P377" s="82">
        <v>20</v>
      </c>
      <c r="Q377" s="82">
        <v>20</v>
      </c>
      <c r="R377" s="82">
        <v>220</v>
      </c>
      <c r="S377" s="23">
        <v>20</v>
      </c>
      <c r="T377" s="23">
        <v>320</v>
      </c>
      <c r="U377" s="23">
        <v>536.04999999999995</v>
      </c>
      <c r="V377" s="7" t="s">
        <v>766</v>
      </c>
      <c r="W377" s="82">
        <f t="shared" si="79"/>
        <v>-4.9999999999954525E-2</v>
      </c>
      <c r="Y377" s="4"/>
      <c r="AA377" s="82">
        <v>0</v>
      </c>
      <c r="AB377" s="82"/>
      <c r="AC377" s="82"/>
      <c r="AD377" s="23"/>
      <c r="AE377" s="7" t="s">
        <v>465</v>
      </c>
      <c r="AH377" s="23">
        <f>SUM('2020 detail'!J377:U377)+'2020 detail'!AA377+'2020 detail'!AB377</f>
        <v>1456.05</v>
      </c>
      <c r="AJ377" s="23">
        <f t="shared" si="73"/>
        <v>0</v>
      </c>
      <c r="AL377" t="str">
        <f t="shared" si="80"/>
        <v>Same</v>
      </c>
      <c r="AQ377" s="23">
        <v>536.04999999999995</v>
      </c>
    </row>
    <row r="378" spans="1:43" x14ac:dyDescent="0.2">
      <c r="A378" s="144" t="s">
        <v>287</v>
      </c>
      <c r="B378" s="9" t="s">
        <v>495</v>
      </c>
      <c r="C378" s="9" t="s">
        <v>495</v>
      </c>
      <c r="D378" s="9" t="s">
        <v>495</v>
      </c>
      <c r="E378" s="9"/>
      <c r="F378" s="9" t="s">
        <v>495</v>
      </c>
      <c r="G378" s="83">
        <v>19414</v>
      </c>
      <c r="H378" s="83">
        <f t="shared" si="77"/>
        <v>19414</v>
      </c>
      <c r="I378" s="133">
        <f t="shared" si="81"/>
        <v>1</v>
      </c>
      <c r="J378" s="82">
        <v>1617.83</v>
      </c>
      <c r="K378" s="82">
        <v>1617.83</v>
      </c>
      <c r="L378" s="82">
        <v>1617.87</v>
      </c>
      <c r="M378" s="82">
        <v>1617.83</v>
      </c>
      <c r="N378" s="82">
        <v>1617.83</v>
      </c>
      <c r="O378" s="82">
        <v>1617.83</v>
      </c>
      <c r="P378" s="82">
        <v>1617.83</v>
      </c>
      <c r="Q378" s="82">
        <v>1617.83</v>
      </c>
      <c r="R378" s="82">
        <v>1617.83</v>
      </c>
      <c r="S378" s="23">
        <v>1617.83</v>
      </c>
      <c r="T378" s="23">
        <v>1617.83</v>
      </c>
      <c r="U378" s="23">
        <v>1617.83</v>
      </c>
      <c r="V378" s="7" t="s">
        <v>767</v>
      </c>
      <c r="W378" s="82">
        <f t="shared" si="79"/>
        <v>0</v>
      </c>
      <c r="Y378" s="4"/>
      <c r="AA378" s="82">
        <v>0</v>
      </c>
      <c r="AB378" s="82"/>
      <c r="AC378" s="82"/>
      <c r="AD378" s="23"/>
      <c r="AE378" s="7" t="s">
        <v>465</v>
      </c>
      <c r="AH378" s="23">
        <f>SUM('2020 detail'!J378:U378)+'2020 detail'!AA378+'2020 detail'!AB378</f>
        <v>19414</v>
      </c>
      <c r="AJ378" s="23">
        <f t="shared" si="73"/>
        <v>0</v>
      </c>
      <c r="AL378" t="str">
        <f t="shared" si="80"/>
        <v>Same</v>
      </c>
      <c r="AQ378" s="23">
        <v>1617.83</v>
      </c>
    </row>
    <row r="379" spans="1:43" x14ac:dyDescent="0.2">
      <c r="A379" s="144" t="s">
        <v>288</v>
      </c>
      <c r="B379" s="9">
        <v>0</v>
      </c>
      <c r="C379" s="9" t="s">
        <v>495</v>
      </c>
      <c r="D379" s="9" t="s">
        <v>495</v>
      </c>
      <c r="E379" s="9"/>
      <c r="F379" s="9">
        <v>0</v>
      </c>
      <c r="G379" s="83">
        <v>9300</v>
      </c>
      <c r="H379" s="83">
        <f t="shared" si="77"/>
        <v>4000</v>
      </c>
      <c r="I379" s="133">
        <f t="shared" si="81"/>
        <v>0.43009999999999998</v>
      </c>
      <c r="J379" s="82">
        <v>0</v>
      </c>
      <c r="K379" s="82">
        <v>2000</v>
      </c>
      <c r="L379" s="82"/>
      <c r="M379" s="82"/>
      <c r="N379" s="82"/>
      <c r="O379" s="82"/>
      <c r="P379" s="82"/>
      <c r="Q379" s="82"/>
      <c r="R379" s="82">
        <v>2000</v>
      </c>
      <c r="S379" s="23"/>
      <c r="T379" s="23"/>
      <c r="U379" s="23"/>
      <c r="V379" s="7" t="s">
        <v>768</v>
      </c>
      <c r="W379" s="82">
        <f t="shared" si="79"/>
        <v>5300</v>
      </c>
      <c r="Y379" s="4"/>
      <c r="AA379" s="82">
        <v>0</v>
      </c>
      <c r="AB379" s="82"/>
      <c r="AC379" s="82"/>
      <c r="AD379" s="23"/>
      <c r="AE379" s="7" t="s">
        <v>471</v>
      </c>
      <c r="AH379" s="23">
        <f>SUM('2020 detail'!J379:U379)+'2020 detail'!AA379+'2020 detail'!AB379</f>
        <v>4500</v>
      </c>
      <c r="AJ379" s="23">
        <f t="shared" si="73"/>
        <v>-500</v>
      </c>
      <c r="AL379" t="str">
        <f t="shared" si="80"/>
        <v>Down</v>
      </c>
    </row>
    <row r="380" spans="1:43" x14ac:dyDescent="0.2">
      <c r="A380" s="144" t="s">
        <v>289</v>
      </c>
      <c r="B380" s="9" t="s">
        <v>495</v>
      </c>
      <c r="C380" s="9" t="s">
        <v>495</v>
      </c>
      <c r="D380" s="9" t="s">
        <v>495</v>
      </c>
      <c r="E380" s="9"/>
      <c r="F380" s="9" t="s">
        <v>495</v>
      </c>
      <c r="G380" s="83">
        <v>12829</v>
      </c>
      <c r="H380" s="83">
        <f t="shared" si="77"/>
        <v>10100</v>
      </c>
      <c r="I380" s="133">
        <f t="shared" si="81"/>
        <v>0.7873</v>
      </c>
      <c r="J380" s="82">
        <v>500</v>
      </c>
      <c r="K380" s="82">
        <v>500</v>
      </c>
      <c r="L380" s="82">
        <v>500</v>
      </c>
      <c r="M380" s="82">
        <v>500</v>
      </c>
      <c r="N380" s="82">
        <v>500</v>
      </c>
      <c r="O380" s="82">
        <v>500</v>
      </c>
      <c r="P380" s="82">
        <v>500</v>
      </c>
      <c r="Q380" s="82">
        <v>500</v>
      </c>
      <c r="R380" s="82">
        <v>2500</v>
      </c>
      <c r="S380" s="23">
        <v>500</v>
      </c>
      <c r="T380" s="23">
        <v>2600</v>
      </c>
      <c r="U380" s="23">
        <v>500</v>
      </c>
      <c r="V380" s="7" t="s">
        <v>769</v>
      </c>
      <c r="W380" s="82">
        <f t="shared" si="79"/>
        <v>2729</v>
      </c>
      <c r="Y380" s="4"/>
      <c r="AA380" s="82">
        <v>0</v>
      </c>
      <c r="AB380" s="82"/>
      <c r="AC380" s="82"/>
      <c r="AD380" s="23"/>
      <c r="AE380" s="7" t="s">
        <v>469</v>
      </c>
      <c r="AH380" s="23">
        <f>SUM('2020 detail'!J380:U380)+'2020 detail'!AA380+'2020 detail'!AB380</f>
        <v>9400</v>
      </c>
      <c r="AJ380" s="23">
        <f t="shared" si="73"/>
        <v>700</v>
      </c>
      <c r="AL380" t="str">
        <f t="shared" si="80"/>
        <v>Up</v>
      </c>
      <c r="AQ380" s="23">
        <v>500</v>
      </c>
    </row>
    <row r="381" spans="1:43" x14ac:dyDescent="0.2">
      <c r="A381" s="144" t="s">
        <v>290</v>
      </c>
      <c r="B381" s="9">
        <v>0</v>
      </c>
      <c r="C381" s="9" t="s">
        <v>495</v>
      </c>
      <c r="D381" s="9" t="s">
        <v>495</v>
      </c>
      <c r="E381" s="9"/>
      <c r="F381" s="9">
        <v>0</v>
      </c>
      <c r="G381" s="83">
        <v>12189</v>
      </c>
      <c r="H381" s="83">
        <f t="shared" si="77"/>
        <v>12000</v>
      </c>
      <c r="I381" s="133">
        <f t="shared" si="81"/>
        <v>0.98450000000000004</v>
      </c>
      <c r="J381" s="82">
        <v>0</v>
      </c>
      <c r="K381" s="82"/>
      <c r="L381" s="82"/>
      <c r="M381" s="82">
        <v>1000</v>
      </c>
      <c r="N381" s="82"/>
      <c r="O381" s="82"/>
      <c r="P381" s="82">
        <v>1000</v>
      </c>
      <c r="Q381" s="82"/>
      <c r="R381" s="82"/>
      <c r="S381" s="23"/>
      <c r="T381" s="23">
        <v>5000</v>
      </c>
      <c r="U381" s="23"/>
      <c r="V381" s="7" t="s">
        <v>770</v>
      </c>
      <c r="W381" s="82">
        <f t="shared" si="79"/>
        <v>189</v>
      </c>
      <c r="Y381" s="4"/>
      <c r="AA381" s="82">
        <v>5000</v>
      </c>
      <c r="AB381" s="82"/>
      <c r="AC381" s="82"/>
      <c r="AD381" s="23"/>
      <c r="AE381" s="7" t="s">
        <v>469</v>
      </c>
      <c r="AH381" s="23">
        <f>SUM('2020 detail'!J381:U381)+'2020 detail'!AA381+'2020 detail'!AB381</f>
        <v>9000</v>
      </c>
      <c r="AJ381" s="23">
        <f t="shared" si="73"/>
        <v>3000</v>
      </c>
      <c r="AL381" t="str">
        <f t="shared" si="80"/>
        <v>Up</v>
      </c>
    </row>
    <row r="382" spans="1:43" x14ac:dyDescent="0.2">
      <c r="A382" s="144" t="s">
        <v>291</v>
      </c>
      <c r="B382" s="9" t="s">
        <v>495</v>
      </c>
      <c r="C382" s="9" t="s">
        <v>495</v>
      </c>
      <c r="D382" s="9" t="s">
        <v>495</v>
      </c>
      <c r="E382" s="9"/>
      <c r="F382" s="9">
        <v>0</v>
      </c>
      <c r="G382" s="83">
        <v>47933</v>
      </c>
      <c r="H382" s="83">
        <f t="shared" si="77"/>
        <v>44575</v>
      </c>
      <c r="I382" s="133">
        <f t="shared" si="81"/>
        <v>0.92989999999999995</v>
      </c>
      <c r="J382" s="82">
        <v>0</v>
      </c>
      <c r="K382" s="82"/>
      <c r="L382" s="82"/>
      <c r="M382" s="82">
        <v>4000</v>
      </c>
      <c r="N382" s="82"/>
      <c r="O382" s="82"/>
      <c r="P382" s="82">
        <v>6000</v>
      </c>
      <c r="Q382" s="82"/>
      <c r="R382" s="82"/>
      <c r="S382" s="23">
        <v>10000</v>
      </c>
      <c r="T382" s="23"/>
      <c r="U382" s="23"/>
      <c r="V382" s="7" t="s">
        <v>771</v>
      </c>
      <c r="W382" s="82">
        <f t="shared" si="79"/>
        <v>3358</v>
      </c>
      <c r="Y382" s="4"/>
      <c r="AA382" s="82">
        <v>24575</v>
      </c>
      <c r="AB382" s="82"/>
      <c r="AC382" s="82"/>
      <c r="AD382" s="23"/>
      <c r="AE382" s="7" t="s">
        <v>469</v>
      </c>
      <c r="AH382" s="23">
        <f>SUM('2020 detail'!J382:U382)+'2020 detail'!AA382+'2020 detail'!AB382</f>
        <v>39210</v>
      </c>
      <c r="AJ382" s="23">
        <f t="shared" si="73"/>
        <v>5365</v>
      </c>
      <c r="AL382" t="str">
        <f t="shared" si="80"/>
        <v>Up</v>
      </c>
    </row>
    <row r="383" spans="1:43" x14ac:dyDescent="0.2">
      <c r="A383" s="144" t="s">
        <v>292</v>
      </c>
      <c r="B383" s="9" t="s">
        <v>495</v>
      </c>
      <c r="C383" s="9" t="s">
        <v>495</v>
      </c>
      <c r="D383" s="9">
        <v>0</v>
      </c>
      <c r="E383" s="9"/>
      <c r="F383" s="9">
        <v>0</v>
      </c>
      <c r="G383" s="83">
        <v>4273</v>
      </c>
      <c r="H383" s="83">
        <f t="shared" si="77"/>
        <v>4231</v>
      </c>
      <c r="I383" s="133">
        <f t="shared" si="81"/>
        <v>0.99019999999999997</v>
      </c>
      <c r="J383" s="82">
        <v>0</v>
      </c>
      <c r="K383" s="82"/>
      <c r="L383" s="82">
        <v>1068.25</v>
      </c>
      <c r="M383" s="82"/>
      <c r="N383" s="82"/>
      <c r="O383" s="82"/>
      <c r="P383" s="82">
        <v>2136.5</v>
      </c>
      <c r="Q383" s="82"/>
      <c r="R383" s="82"/>
      <c r="S383" s="23"/>
      <c r="T383" s="23"/>
      <c r="U383" s="23">
        <v>1026.25</v>
      </c>
      <c r="V383" s="7" t="s">
        <v>772</v>
      </c>
      <c r="W383" s="82">
        <f t="shared" si="79"/>
        <v>42</v>
      </c>
      <c r="Y383" s="4"/>
      <c r="AA383" s="82">
        <v>0</v>
      </c>
      <c r="AB383" s="82"/>
      <c r="AC383" s="82"/>
      <c r="AD383" s="23"/>
      <c r="AE383" s="7" t="s">
        <v>470</v>
      </c>
      <c r="AH383" s="23">
        <f>SUM('2020 detail'!J383:U383)+'2020 detail'!AA383+'2020 detail'!AB383</f>
        <v>4231</v>
      </c>
      <c r="AJ383" s="23">
        <f t="shared" si="73"/>
        <v>0</v>
      </c>
      <c r="AL383" t="str">
        <f t="shared" si="80"/>
        <v>Same</v>
      </c>
      <c r="AQ383" s="23">
        <v>1026.25</v>
      </c>
    </row>
    <row r="384" spans="1:43" x14ac:dyDescent="0.2">
      <c r="A384" s="144" t="s">
        <v>293</v>
      </c>
      <c r="B384" s="9" t="s">
        <v>495</v>
      </c>
      <c r="C384" s="9">
        <v>0</v>
      </c>
      <c r="D384" s="9">
        <v>0</v>
      </c>
      <c r="E384" s="9"/>
      <c r="F384" s="9">
        <v>0</v>
      </c>
      <c r="G384" s="83">
        <v>2682</v>
      </c>
      <c r="H384" s="83">
        <f t="shared" si="77"/>
        <v>1300</v>
      </c>
      <c r="I384" s="133">
        <f t="shared" si="81"/>
        <v>0.48470000000000002</v>
      </c>
      <c r="J384" s="82">
        <v>0</v>
      </c>
      <c r="K384" s="82"/>
      <c r="L384" s="82"/>
      <c r="M384" s="82"/>
      <c r="N384" s="82"/>
      <c r="O384" s="82"/>
      <c r="P384" s="82"/>
      <c r="Q384" s="82"/>
      <c r="R384" s="82"/>
      <c r="S384" s="23"/>
      <c r="T384" s="23"/>
      <c r="U384" s="23">
        <v>1300</v>
      </c>
      <c r="V384" s="7" t="s">
        <v>773</v>
      </c>
      <c r="W384" s="82">
        <f t="shared" si="79"/>
        <v>1382</v>
      </c>
      <c r="Y384" s="4"/>
      <c r="AA384" s="82">
        <v>0</v>
      </c>
      <c r="AB384" s="82"/>
      <c r="AC384" s="82"/>
      <c r="AD384" s="23"/>
      <c r="AE384" s="7" t="s">
        <v>470</v>
      </c>
      <c r="AH384" s="23">
        <f>SUM('2020 detail'!J384:U384)+'2020 detail'!AA384+'2020 detail'!AB384</f>
        <v>1400</v>
      </c>
      <c r="AJ384" s="23">
        <f t="shared" si="73"/>
        <v>-100</v>
      </c>
      <c r="AL384" t="str">
        <f t="shared" si="80"/>
        <v>Down</v>
      </c>
      <c r="AQ384" s="23">
        <v>1300</v>
      </c>
    </row>
    <row r="385" spans="1:46" x14ac:dyDescent="0.2">
      <c r="A385" s="144" t="s">
        <v>294</v>
      </c>
      <c r="B385" s="9" t="s">
        <v>495</v>
      </c>
      <c r="C385" s="9" t="s">
        <v>495</v>
      </c>
      <c r="D385" s="9">
        <v>0</v>
      </c>
      <c r="E385" s="9"/>
      <c r="F385" s="9" t="s">
        <v>495</v>
      </c>
      <c r="G385" s="83">
        <v>45010</v>
      </c>
      <c r="H385" s="83">
        <f t="shared" si="77"/>
        <v>45010.000000000007</v>
      </c>
      <c r="I385" s="133">
        <f t="shared" si="81"/>
        <v>1</v>
      </c>
      <c r="J385" s="82">
        <v>3758.83</v>
      </c>
      <c r="K385" s="82">
        <v>3758.83</v>
      </c>
      <c r="L385" s="82">
        <v>3749.27</v>
      </c>
      <c r="M385" s="82">
        <v>3749.23</v>
      </c>
      <c r="N385" s="82">
        <v>3749.23</v>
      </c>
      <c r="O385" s="82">
        <v>3749.23</v>
      </c>
      <c r="P385" s="82">
        <v>3749.23</v>
      </c>
      <c r="Q385" s="82">
        <v>3749.23</v>
      </c>
      <c r="R385" s="82">
        <v>3749.23</v>
      </c>
      <c r="S385" s="23">
        <v>3749.23</v>
      </c>
      <c r="T385" s="23">
        <v>3749.23</v>
      </c>
      <c r="U385" s="23">
        <v>3749.23</v>
      </c>
      <c r="V385" s="7" t="s">
        <v>774</v>
      </c>
      <c r="W385" s="82">
        <f t="shared" si="79"/>
        <v>0</v>
      </c>
      <c r="Y385" s="4"/>
      <c r="AA385" s="82">
        <v>0</v>
      </c>
      <c r="AB385" s="82"/>
      <c r="AC385" s="82"/>
      <c r="AD385" s="23"/>
      <c r="AE385" s="7" t="s">
        <v>470</v>
      </c>
      <c r="AH385" s="23">
        <f>SUM('2020 detail'!J385:U385)+'2020 detail'!AA385+'2020 detail'!AB385</f>
        <v>45011.000000000015</v>
      </c>
      <c r="AJ385" s="23">
        <f t="shared" si="73"/>
        <v>-1.000000000007276</v>
      </c>
      <c r="AL385" t="str">
        <f t="shared" si="80"/>
        <v>Down</v>
      </c>
      <c r="AQ385" s="23">
        <v>3749.23</v>
      </c>
    </row>
    <row r="386" spans="1:46" x14ac:dyDescent="0.2">
      <c r="A386" s="144" t="s">
        <v>295</v>
      </c>
      <c r="B386" s="9">
        <v>0</v>
      </c>
      <c r="C386" s="9" t="s">
        <v>495</v>
      </c>
      <c r="D386" s="9" t="s">
        <v>495</v>
      </c>
      <c r="E386" s="9"/>
      <c r="F386" s="9">
        <v>0</v>
      </c>
      <c r="G386" s="83">
        <v>17700</v>
      </c>
      <c r="H386" s="83">
        <f t="shared" si="77"/>
        <v>10620</v>
      </c>
      <c r="I386" s="133">
        <f t="shared" si="81"/>
        <v>0.6</v>
      </c>
      <c r="J386" s="82">
        <v>0</v>
      </c>
      <c r="K386" s="82"/>
      <c r="L386" s="82">
        <v>2000</v>
      </c>
      <c r="M386" s="82"/>
      <c r="N386" s="82"/>
      <c r="O386" s="82"/>
      <c r="P386" s="82"/>
      <c r="Q386" s="82"/>
      <c r="R386" s="82">
        <v>4000</v>
      </c>
      <c r="S386" s="23"/>
      <c r="T386" s="23">
        <v>4620</v>
      </c>
      <c r="U386" s="23"/>
      <c r="V386" s="7" t="s">
        <v>775</v>
      </c>
      <c r="W386" s="82">
        <f t="shared" si="79"/>
        <v>7080</v>
      </c>
      <c r="Y386" s="4"/>
      <c r="AA386" s="82">
        <v>0</v>
      </c>
      <c r="AB386" s="82"/>
      <c r="AC386" s="82"/>
      <c r="AD386" s="23"/>
      <c r="AE386" s="7" t="s">
        <v>471</v>
      </c>
      <c r="AH386" s="23">
        <f>SUM('2020 detail'!J386:U386)+'2020 detail'!AA386+'2020 detail'!AB386</f>
        <v>12750</v>
      </c>
      <c r="AJ386" s="23">
        <f t="shared" si="73"/>
        <v>-2130</v>
      </c>
      <c r="AL386" t="str">
        <f t="shared" si="80"/>
        <v>Down</v>
      </c>
    </row>
    <row r="387" spans="1:46" s="6" customFormat="1" x14ac:dyDescent="0.2">
      <c r="A387" s="144" t="s">
        <v>296</v>
      </c>
      <c r="B387" s="9" t="s">
        <v>495</v>
      </c>
      <c r="C387" s="9" t="s">
        <v>495</v>
      </c>
      <c r="D387" s="9">
        <v>0</v>
      </c>
      <c r="E387" s="9"/>
      <c r="F387" s="9">
        <v>0</v>
      </c>
      <c r="G387" s="83">
        <v>14496</v>
      </c>
      <c r="H387" s="83">
        <f t="shared" si="77"/>
        <v>14496</v>
      </c>
      <c r="I387" s="133">
        <f t="shared" si="81"/>
        <v>1</v>
      </c>
      <c r="J387" s="82">
        <v>0</v>
      </c>
      <c r="K387" s="82"/>
      <c r="L387" s="82">
        <v>3624</v>
      </c>
      <c r="M387" s="82"/>
      <c r="N387" s="82"/>
      <c r="O387" s="82">
        <v>3624</v>
      </c>
      <c r="P387" s="82"/>
      <c r="Q387" s="82"/>
      <c r="R387" s="82">
        <v>3624</v>
      </c>
      <c r="S387" s="23"/>
      <c r="T387" s="23"/>
      <c r="U387" s="23">
        <v>3624</v>
      </c>
      <c r="V387" s="7" t="s">
        <v>776</v>
      </c>
      <c r="W387" s="82">
        <f t="shared" si="79"/>
        <v>0</v>
      </c>
      <c r="X387" s="7"/>
      <c r="Y387" s="4"/>
      <c r="Z387" s="7"/>
      <c r="AA387" s="82">
        <v>0</v>
      </c>
      <c r="AB387" s="82"/>
      <c r="AC387" s="82"/>
      <c r="AD387" s="23"/>
      <c r="AE387" s="10" t="s">
        <v>470</v>
      </c>
      <c r="AH387" s="23">
        <f>SUM('2020 detail'!J387:U387)+'2020 detail'!AA387+'2020 detail'!AB387</f>
        <v>14496</v>
      </c>
      <c r="AJ387" s="23">
        <f t="shared" si="73"/>
        <v>0</v>
      </c>
      <c r="AL387" t="str">
        <f t="shared" si="80"/>
        <v>Same</v>
      </c>
      <c r="AQ387" s="23">
        <v>3624</v>
      </c>
    </row>
    <row r="388" spans="1:46" s="6" customFormat="1" x14ac:dyDescent="0.2">
      <c r="A388" s="144" t="s">
        <v>297</v>
      </c>
      <c r="B388" s="9" t="s">
        <v>495</v>
      </c>
      <c r="C388" s="9">
        <v>0</v>
      </c>
      <c r="D388" s="9">
        <v>0</v>
      </c>
      <c r="E388" s="9"/>
      <c r="F388" s="9">
        <v>0</v>
      </c>
      <c r="G388" s="83">
        <v>5539</v>
      </c>
      <c r="H388" s="83">
        <f t="shared" si="77"/>
        <v>5104</v>
      </c>
      <c r="I388" s="133">
        <f t="shared" si="81"/>
        <v>0.92149999999999999</v>
      </c>
      <c r="J388" s="82">
        <v>0</v>
      </c>
      <c r="K388" s="82"/>
      <c r="L388" s="82"/>
      <c r="M388" s="82"/>
      <c r="N388" s="82"/>
      <c r="O388" s="82"/>
      <c r="P388" s="82"/>
      <c r="Q388" s="82"/>
      <c r="R388" s="82">
        <v>2000</v>
      </c>
      <c r="S388" s="23"/>
      <c r="T388" s="23"/>
      <c r="U388" s="23">
        <v>2000</v>
      </c>
      <c r="V388" s="7" t="s">
        <v>777</v>
      </c>
      <c r="W388" s="82">
        <f t="shared" si="79"/>
        <v>435</v>
      </c>
      <c r="X388" s="7"/>
      <c r="Y388" s="4"/>
      <c r="Z388" s="7"/>
      <c r="AA388" s="82">
        <v>0</v>
      </c>
      <c r="AB388" s="82">
        <v>1104</v>
      </c>
      <c r="AC388" s="82"/>
      <c r="AD388" s="23"/>
      <c r="AE388" s="10" t="s">
        <v>470</v>
      </c>
      <c r="AH388" s="23">
        <f>SUM('2020 detail'!J388:U388)+'2020 detail'!AA388+'2020 detail'!AB388</f>
        <v>3157</v>
      </c>
      <c r="AJ388" s="23">
        <f t="shared" si="73"/>
        <v>1947</v>
      </c>
      <c r="AL388" t="str">
        <f t="shared" si="80"/>
        <v>Up</v>
      </c>
      <c r="AQ388" s="23">
        <v>2000</v>
      </c>
    </row>
    <row r="389" spans="1:46" x14ac:dyDescent="0.2">
      <c r="A389" s="144" t="s">
        <v>298</v>
      </c>
      <c r="B389" s="9">
        <v>0</v>
      </c>
      <c r="C389" s="9">
        <v>0</v>
      </c>
      <c r="D389" s="9">
        <v>0</v>
      </c>
      <c r="E389" s="9"/>
      <c r="F389" s="9">
        <v>0</v>
      </c>
      <c r="G389" s="83">
        <v>0</v>
      </c>
      <c r="H389" s="83">
        <f t="shared" si="77"/>
        <v>0</v>
      </c>
      <c r="I389" s="133" t="e">
        <f t="shared" si="81"/>
        <v>#DIV/0!</v>
      </c>
      <c r="J389" s="82">
        <v>0</v>
      </c>
      <c r="K389" s="82"/>
      <c r="L389" s="82"/>
      <c r="M389" s="82"/>
      <c r="N389" s="82"/>
      <c r="O389" s="82"/>
      <c r="P389" s="82"/>
      <c r="Q389" s="82"/>
      <c r="R389" s="82"/>
      <c r="S389" s="23"/>
      <c r="T389" s="23"/>
      <c r="U389" s="23"/>
      <c r="V389" s="7" t="s">
        <v>778</v>
      </c>
      <c r="W389" s="82">
        <f t="shared" si="79"/>
        <v>0</v>
      </c>
      <c r="Y389" s="4"/>
      <c r="AA389" s="82">
        <v>0</v>
      </c>
      <c r="AB389" s="82"/>
      <c r="AC389" s="82"/>
      <c r="AD389" s="23"/>
      <c r="AH389" s="23">
        <f>SUM('2020 detail'!J389:U389)+'2020 detail'!AA389+'2020 detail'!AB389</f>
        <v>0</v>
      </c>
      <c r="AJ389" s="23">
        <f t="shared" si="73"/>
        <v>0</v>
      </c>
      <c r="AL389" t="str">
        <f t="shared" si="80"/>
        <v>Same</v>
      </c>
    </row>
    <row r="390" spans="1:46" x14ac:dyDescent="0.2">
      <c r="G390" s="83"/>
      <c r="I390" s="133"/>
      <c r="AJ390" s="23"/>
    </row>
    <row r="391" spans="1:46" x14ac:dyDescent="0.2">
      <c r="A391" s="235" t="s">
        <v>1056</v>
      </c>
      <c r="G391" s="83">
        <f>SUM(G355:G390)</f>
        <v>538613</v>
      </c>
      <c r="H391" s="83">
        <f>SUM(H355:H390)</f>
        <v>458694</v>
      </c>
      <c r="I391" s="133">
        <f t="shared" ref="I391:I392" si="82">ROUND((H391/G391),4)</f>
        <v>0.85160000000000002</v>
      </c>
      <c r="J391" s="83">
        <f>SUM(J355:J390)</f>
        <v>24974.65</v>
      </c>
      <c r="K391" s="83">
        <f t="shared" ref="K391:W391" si="83">SUM(K355:K390)</f>
        <v>22804.57</v>
      </c>
      <c r="L391" s="83">
        <f t="shared" si="83"/>
        <v>34456.300000000003</v>
      </c>
      <c r="M391" s="83">
        <f t="shared" si="83"/>
        <v>23794.969999999998</v>
      </c>
      <c r="N391" s="83">
        <f t="shared" si="83"/>
        <v>22794.969999999998</v>
      </c>
      <c r="O391" s="83">
        <f t="shared" si="83"/>
        <v>30918.969999999998</v>
      </c>
      <c r="P391" s="83">
        <f t="shared" si="83"/>
        <v>35902.47</v>
      </c>
      <c r="Q391" s="83">
        <f t="shared" si="83"/>
        <v>28762.969999999998</v>
      </c>
      <c r="R391" s="83">
        <f t="shared" si="83"/>
        <v>41418.97</v>
      </c>
      <c r="S391" s="4">
        <f t="shared" si="83"/>
        <v>38911.72</v>
      </c>
      <c r="T391" s="4">
        <f t="shared" si="83"/>
        <v>48196.72</v>
      </c>
      <c r="U391" s="4">
        <f t="shared" si="83"/>
        <v>75077.72</v>
      </c>
      <c r="V391" s="77"/>
      <c r="W391" s="82">
        <f t="shared" si="83"/>
        <v>79919</v>
      </c>
      <c r="Y391" s="4"/>
      <c r="Z391" s="77"/>
      <c r="AA391" s="83">
        <f>SUM(AA355:AA390)</f>
        <v>29575</v>
      </c>
      <c r="AB391" s="83">
        <f t="shared" ref="AB391:AC391" si="84">SUM(AB355:AB390)</f>
        <v>1104</v>
      </c>
      <c r="AC391" s="83">
        <f t="shared" si="84"/>
        <v>0</v>
      </c>
      <c r="AD391" s="4"/>
      <c r="AH391" s="23">
        <f>SUM(AH355:AH390)</f>
        <v>443978.05</v>
      </c>
      <c r="AJ391" s="23">
        <f t="shared" si="73"/>
        <v>14715.950000000012</v>
      </c>
      <c r="AM391" s="11">
        <f>SUM(J391:R391)+SUM(S392:U392)+SUM('2020 detail'!AA390:AC390)</f>
        <v>427642.35</v>
      </c>
      <c r="AN391" s="24">
        <f>ROUND((AM391/G391),4)</f>
        <v>0.79400000000000004</v>
      </c>
      <c r="AO391" s="24">
        <f>ROUND((SUM(J392:U392)/G392),4)</f>
        <v>0.81499999999999995</v>
      </c>
      <c r="AQ391" s="23">
        <f>SUM(AQ355:AQ390)</f>
        <v>75077.72</v>
      </c>
      <c r="AS391">
        <v>-2500</v>
      </c>
      <c r="AT391" s="3">
        <f>W391+AS391</f>
        <v>77419</v>
      </c>
    </row>
    <row r="392" spans="1:46" x14ac:dyDescent="0.2">
      <c r="A392" s="236" t="s">
        <v>1057</v>
      </c>
      <c r="G392" s="206">
        <f>'2020 detail'!G391</f>
        <v>538613</v>
      </c>
      <c r="H392" s="206">
        <f>SUM(J392:AC392)</f>
        <v>448478.05000000005</v>
      </c>
      <c r="I392" s="207">
        <f t="shared" si="82"/>
        <v>0.8327</v>
      </c>
      <c r="J392" s="206">
        <f>'2020 detail'!J391</f>
        <v>25673.22</v>
      </c>
      <c r="K392" s="206">
        <f>'2020 detail'!K391</f>
        <v>30688.079999999998</v>
      </c>
      <c r="L392" s="206">
        <f>'2020 detail'!L391</f>
        <v>37577.07</v>
      </c>
      <c r="M392" s="206">
        <f>'2020 detail'!M391</f>
        <v>35255.07</v>
      </c>
      <c r="N392" s="206">
        <f>'2020 detail'!N391</f>
        <v>28429.07</v>
      </c>
      <c r="O392" s="206">
        <f>'2020 detail'!O391</f>
        <v>33524.07</v>
      </c>
      <c r="P392" s="206">
        <f>'2020 detail'!P391</f>
        <v>42871.82</v>
      </c>
      <c r="Q392" s="206">
        <f>'2020 detail'!Q391</f>
        <v>23573.07</v>
      </c>
      <c r="R392" s="206">
        <f>'2020 detail'!R391</f>
        <v>19573.07</v>
      </c>
      <c r="S392" s="165">
        <f>'2020 detail'!S391</f>
        <v>67812.070000000007</v>
      </c>
      <c r="T392" s="165">
        <f>'2020 detail'!T391</f>
        <v>36782.57</v>
      </c>
      <c r="U392" s="165">
        <f>'2020 detail'!U391</f>
        <v>57218.87</v>
      </c>
      <c r="AA392" s="165">
        <f>'2020 detail'!AA391</f>
        <v>5000</v>
      </c>
      <c r="AB392" s="165">
        <f>'2020 detail'!AB391</f>
        <v>0</v>
      </c>
      <c r="AC392" s="165">
        <f>'2020 detail'!AC391</f>
        <v>4500</v>
      </c>
      <c r="AJ392" s="23"/>
    </row>
    <row r="393" spans="1:46" x14ac:dyDescent="0.2">
      <c r="AJ393" s="23"/>
    </row>
    <row r="394" spans="1:46" ht="15.75" x14ac:dyDescent="0.25">
      <c r="G394" s="196" t="s">
        <v>16</v>
      </c>
      <c r="AH394" s="171" t="s">
        <v>1067</v>
      </c>
      <c r="AI394" s="172"/>
      <c r="AJ394" s="171" t="s">
        <v>1064</v>
      </c>
    </row>
    <row r="395" spans="1:46" x14ac:dyDescent="0.2">
      <c r="AH395" s="171" t="s">
        <v>1096</v>
      </c>
      <c r="AI395" s="172"/>
      <c r="AJ395" s="171" t="s">
        <v>1065</v>
      </c>
    </row>
    <row r="396" spans="1:46" ht="16.5" x14ac:dyDescent="0.25">
      <c r="A396" s="6"/>
      <c r="B396" s="8"/>
      <c r="C396" s="8"/>
      <c r="E396" s="8"/>
      <c r="F396" s="8"/>
      <c r="G396" s="208" t="str">
        <f>$G$3</f>
        <v>2021 PARISH SHARE INFORMATION AS AT 22 FEBRUARY 2022</v>
      </c>
      <c r="H396" s="209"/>
      <c r="W396" s="194"/>
      <c r="X396"/>
      <c r="Y396"/>
      <c r="Z396"/>
      <c r="AA396"/>
      <c r="AB396"/>
      <c r="AC396"/>
      <c r="AH396" s="172"/>
      <c r="AI396" s="172"/>
      <c r="AJ396" s="171" t="s">
        <v>1066</v>
      </c>
    </row>
    <row r="397" spans="1:46" x14ac:dyDescent="0.2">
      <c r="A397" s="6"/>
      <c r="G397" s="205"/>
      <c r="H397" s="197"/>
      <c r="W397" s="194"/>
      <c r="X397"/>
      <c r="Y397"/>
      <c r="Z397"/>
      <c r="AA397"/>
      <c r="AB397"/>
      <c r="AC397"/>
      <c r="AJ397" s="23"/>
    </row>
    <row r="398" spans="1:46" ht="16.5" x14ac:dyDescent="0.25">
      <c r="A398" s="204" t="s">
        <v>1</v>
      </c>
      <c r="B398" s="151" t="str">
        <f>$B$5</f>
        <v>RM</v>
      </c>
      <c r="C398" s="151" t="str">
        <f>$C$5</f>
        <v>RF</v>
      </c>
      <c r="D398" s="151" t="str">
        <f>$D$5</f>
        <v>Accts</v>
      </c>
      <c r="E398" s="151"/>
      <c r="F398" s="151" t="str">
        <f>$F$5</f>
        <v>Share DD</v>
      </c>
      <c r="G398" s="210" t="str">
        <f>$G$5</f>
        <v xml:space="preserve">2021 Share </v>
      </c>
      <c r="H398" s="211" t="str">
        <f>$H$5</f>
        <v xml:space="preserve">2021 Paid </v>
      </c>
      <c r="I398" s="211" t="str">
        <f>$I$5</f>
        <v xml:space="preserve">% Paid </v>
      </c>
      <c r="J398" s="212">
        <f>$J$5</f>
        <v>44227</v>
      </c>
      <c r="K398" s="212">
        <f>$K$5</f>
        <v>44255</v>
      </c>
      <c r="L398" s="212">
        <f>$L$5</f>
        <v>44286</v>
      </c>
      <c r="M398" s="212">
        <f>$M$5</f>
        <v>44316</v>
      </c>
      <c r="N398" s="212">
        <f>$N$5</f>
        <v>44347</v>
      </c>
      <c r="O398" s="212">
        <f>$O$5</f>
        <v>44377</v>
      </c>
      <c r="P398" s="212">
        <f>$P$5</f>
        <v>44408</v>
      </c>
      <c r="Q398" s="212">
        <f>$Q$5</f>
        <v>44439</v>
      </c>
      <c r="R398" s="212">
        <f>$R$5</f>
        <v>44469</v>
      </c>
      <c r="S398" s="155">
        <f>$S$5</f>
        <v>44500</v>
      </c>
      <c r="T398" s="155">
        <f>$T$5</f>
        <v>44530</v>
      </c>
      <c r="U398" s="155">
        <f>$U$5</f>
        <v>44561</v>
      </c>
      <c r="V398" s="78"/>
      <c r="W398" s="195" t="str">
        <f>$W$5</f>
        <v xml:space="preserve">Outstanding </v>
      </c>
      <c r="X398" s="2"/>
      <c r="Y398" s="2"/>
      <c r="Z398" s="2"/>
      <c r="AA398" s="2">
        <f>$AA$5</f>
        <v>44592</v>
      </c>
      <c r="AB398" s="2">
        <f>$AB$5</f>
        <v>44620</v>
      </c>
      <c r="AC398" s="2">
        <f>$AC$5</f>
        <v>44651</v>
      </c>
      <c r="AE398" s="152" t="str">
        <f>$AE$5</f>
        <v>Benefice</v>
      </c>
      <c r="AH398" s="16" t="s">
        <v>1062</v>
      </c>
      <c r="AJ398" s="170" t="s">
        <v>1063</v>
      </c>
      <c r="AQ398" s="222">
        <f>AQ5</f>
        <v>44588</v>
      </c>
    </row>
    <row r="399" spans="1:46" ht="16.5" x14ac:dyDescent="0.25">
      <c r="A399" s="6"/>
      <c r="G399" s="201" t="s">
        <v>1040</v>
      </c>
      <c r="H399" s="202" t="s">
        <v>1040</v>
      </c>
      <c r="I399" s="203"/>
      <c r="J399" s="202" t="s">
        <v>1040</v>
      </c>
      <c r="K399" s="202" t="s">
        <v>1040</v>
      </c>
      <c r="L399" s="202" t="s">
        <v>1040</v>
      </c>
      <c r="M399" s="202" t="s">
        <v>1040</v>
      </c>
      <c r="N399" s="202" t="s">
        <v>1040</v>
      </c>
      <c r="O399" s="202" t="s">
        <v>1040</v>
      </c>
      <c r="P399" s="202" t="s">
        <v>1040</v>
      </c>
      <c r="Q399" s="202" t="s">
        <v>1040</v>
      </c>
      <c r="R399" s="202" t="s">
        <v>1040</v>
      </c>
      <c r="S399" s="147" t="s">
        <v>1040</v>
      </c>
      <c r="T399" s="147" t="s">
        <v>1040</v>
      </c>
      <c r="U399" s="147" t="s">
        <v>1040</v>
      </c>
      <c r="W399" s="194"/>
      <c r="X399"/>
      <c r="Y399"/>
      <c r="Z399"/>
      <c r="AA399"/>
      <c r="AB399"/>
      <c r="AC399"/>
      <c r="AJ399" s="23"/>
    </row>
    <row r="400" spans="1:46" x14ac:dyDescent="0.2">
      <c r="AJ400" s="23"/>
    </row>
    <row r="401" spans="1:43" x14ac:dyDescent="0.2">
      <c r="A401" s="144" t="s">
        <v>373</v>
      </c>
      <c r="B401" s="9" t="s">
        <v>495</v>
      </c>
      <c r="C401" s="9" t="s">
        <v>495</v>
      </c>
      <c r="D401" s="9" t="s">
        <v>495</v>
      </c>
      <c r="E401" s="9"/>
      <c r="F401" s="9">
        <v>0</v>
      </c>
      <c r="G401" s="83">
        <v>32227</v>
      </c>
      <c r="H401" s="83">
        <f t="shared" ref="H401:H447" si="85">SUM(J401:U401)+SUM(AA401:AC401)</f>
        <v>32226.98</v>
      </c>
      <c r="I401" s="133">
        <f t="shared" ref="I401" si="86">ROUND((H401/G401),4)</f>
        <v>1</v>
      </c>
      <c r="J401" s="82">
        <v>0</v>
      </c>
      <c r="K401" s="82"/>
      <c r="L401" s="82"/>
      <c r="M401" s="82"/>
      <c r="N401" s="82"/>
      <c r="O401" s="82"/>
      <c r="P401" s="82">
        <v>12226.98</v>
      </c>
      <c r="Q401" s="82"/>
      <c r="R401" s="82"/>
      <c r="S401" s="23"/>
      <c r="T401" s="23">
        <v>10000</v>
      </c>
      <c r="U401" s="23">
        <v>10000</v>
      </c>
      <c r="V401" s="7" t="s">
        <v>779</v>
      </c>
      <c r="W401" s="82">
        <f t="shared" ref="W401:W447" si="87">ROUND((G401-H401),2)</f>
        <v>0.02</v>
      </c>
      <c r="Y401" s="4"/>
      <c r="Z401" s="4"/>
      <c r="AA401" s="82">
        <v>0</v>
      </c>
      <c r="AB401" s="82"/>
      <c r="AC401" s="82"/>
      <c r="AE401" s="7" t="s">
        <v>473</v>
      </c>
      <c r="AH401" s="23">
        <f>SUM('2020 detail'!J401:U401)+'2020 detail'!AA401+'2020 detail'!AB401</f>
        <v>32597</v>
      </c>
      <c r="AJ401" s="23">
        <f t="shared" ref="AJ401:AJ450" si="88">H401-AH401</f>
        <v>-370.02000000000044</v>
      </c>
      <c r="AL401" t="str">
        <f t="shared" ref="AL401:AL447" si="89">IF(AJ401&lt;0,"Down",IF(AJ401&gt;0,"Up","Same"))</f>
        <v>Down</v>
      </c>
      <c r="AQ401" s="23">
        <v>10000</v>
      </c>
    </row>
    <row r="402" spans="1:43" x14ac:dyDescent="0.2">
      <c r="A402" s="144" t="s">
        <v>299</v>
      </c>
      <c r="B402" s="9" t="s">
        <v>495</v>
      </c>
      <c r="C402" s="9">
        <v>0</v>
      </c>
      <c r="D402" s="9">
        <v>0</v>
      </c>
      <c r="E402" s="9"/>
      <c r="F402" s="9" t="s">
        <v>495</v>
      </c>
      <c r="G402" s="83">
        <v>10000</v>
      </c>
      <c r="H402" s="83">
        <f t="shared" si="85"/>
        <v>10550</v>
      </c>
      <c r="I402" s="133">
        <f t="shared" ref="I402:I447" si="90">ROUND((H402/G402),4)</f>
        <v>1.0549999999999999</v>
      </c>
      <c r="J402" s="82">
        <v>833.33</v>
      </c>
      <c r="K402" s="82">
        <v>833.37</v>
      </c>
      <c r="L402" s="82">
        <v>833.33</v>
      </c>
      <c r="M402" s="82">
        <v>833.33</v>
      </c>
      <c r="N402" s="82">
        <v>833.33</v>
      </c>
      <c r="O402" s="82">
        <v>833.33</v>
      </c>
      <c r="P402" s="82">
        <v>833.33</v>
      </c>
      <c r="Q402" s="82">
        <v>833.33</v>
      </c>
      <c r="R402" s="82">
        <v>833.33</v>
      </c>
      <c r="S402" s="23">
        <v>1383.33</v>
      </c>
      <c r="T402" s="23">
        <v>833.33</v>
      </c>
      <c r="U402" s="23">
        <v>833.33</v>
      </c>
      <c r="V402" s="7" t="s">
        <v>780</v>
      </c>
      <c r="W402" s="82">
        <f t="shared" si="87"/>
        <v>-550</v>
      </c>
      <c r="Y402" s="4"/>
      <c r="AA402" s="82">
        <v>0</v>
      </c>
      <c r="AB402" s="82"/>
      <c r="AC402" s="82"/>
      <c r="AE402" s="7" t="s">
        <v>475</v>
      </c>
      <c r="AH402" s="23">
        <f>SUM('2020 detail'!J402:U402)+'2020 detail'!AA402+'2020 detail'!AB402</f>
        <v>10000</v>
      </c>
      <c r="AJ402" s="23">
        <f t="shared" si="88"/>
        <v>550</v>
      </c>
      <c r="AL402" t="str">
        <f t="shared" si="89"/>
        <v>Up</v>
      </c>
      <c r="AQ402" s="23">
        <v>833.33</v>
      </c>
    </row>
    <row r="403" spans="1:43" x14ac:dyDescent="0.2">
      <c r="A403" s="144" t="s">
        <v>300</v>
      </c>
      <c r="B403" s="9" t="s">
        <v>495</v>
      </c>
      <c r="C403" s="9" t="s">
        <v>495</v>
      </c>
      <c r="D403" s="9">
        <v>0</v>
      </c>
      <c r="E403" s="9"/>
      <c r="F403" s="9">
        <v>0</v>
      </c>
      <c r="G403" s="83">
        <v>9389</v>
      </c>
      <c r="H403" s="83">
        <f t="shared" si="85"/>
        <v>0</v>
      </c>
      <c r="I403" s="133">
        <f t="shared" si="90"/>
        <v>0</v>
      </c>
      <c r="J403" s="82">
        <v>0</v>
      </c>
      <c r="K403" s="82"/>
      <c r="L403" s="82"/>
      <c r="M403" s="82"/>
      <c r="N403" s="82"/>
      <c r="O403" s="82"/>
      <c r="P403" s="82"/>
      <c r="Q403" s="82"/>
      <c r="R403" s="82"/>
      <c r="S403" s="23"/>
      <c r="T403" s="23"/>
      <c r="U403" s="23"/>
      <c r="V403" s="7" t="s">
        <v>781</v>
      </c>
      <c r="W403" s="82">
        <f t="shared" si="87"/>
        <v>9389</v>
      </c>
      <c r="Y403" s="4"/>
      <c r="AA403" s="82">
        <v>0</v>
      </c>
      <c r="AB403" s="82"/>
      <c r="AC403" s="82"/>
      <c r="AE403" s="7" t="s">
        <v>472</v>
      </c>
      <c r="AH403" s="23">
        <f>SUM('2020 detail'!J403:U403)+'2020 detail'!AA403+'2020 detail'!AB403</f>
        <v>3912.1299999999997</v>
      </c>
      <c r="AJ403" s="23">
        <f t="shared" si="88"/>
        <v>-3912.1299999999997</v>
      </c>
      <c r="AL403" t="str">
        <f t="shared" si="89"/>
        <v>Down</v>
      </c>
    </row>
    <row r="404" spans="1:43" x14ac:dyDescent="0.2">
      <c r="A404" s="144" t="s">
        <v>301</v>
      </c>
      <c r="B404" s="9" t="s">
        <v>495</v>
      </c>
      <c r="C404" s="9" t="s">
        <v>495</v>
      </c>
      <c r="D404" s="9" t="s">
        <v>495</v>
      </c>
      <c r="E404" s="9"/>
      <c r="F404" s="9" t="s">
        <v>495</v>
      </c>
      <c r="G404" s="83">
        <v>16981</v>
      </c>
      <c r="H404" s="83">
        <f t="shared" si="85"/>
        <v>17293</v>
      </c>
      <c r="I404" s="133">
        <f t="shared" si="90"/>
        <v>1.0184</v>
      </c>
      <c r="J404" s="82">
        <v>1415.08</v>
      </c>
      <c r="K404" s="82">
        <v>1415.08</v>
      </c>
      <c r="L404" s="82">
        <v>1415.12</v>
      </c>
      <c r="M404" s="82">
        <v>1415.08</v>
      </c>
      <c r="N404" s="82">
        <v>1415.08</v>
      </c>
      <c r="O404" s="82">
        <v>1415.08</v>
      </c>
      <c r="P404" s="82">
        <v>1415.08</v>
      </c>
      <c r="Q404" s="82">
        <v>1727.08</v>
      </c>
      <c r="R404" s="82">
        <v>1415.08</v>
      </c>
      <c r="S404" s="23">
        <v>1415.08</v>
      </c>
      <c r="T404" s="23">
        <v>1415.08</v>
      </c>
      <c r="U404" s="23">
        <v>1415.08</v>
      </c>
      <c r="V404" s="7" t="s">
        <v>782</v>
      </c>
      <c r="W404" s="82">
        <f t="shared" si="87"/>
        <v>-312</v>
      </c>
      <c r="Y404" s="4"/>
      <c r="AA404" s="82">
        <v>0</v>
      </c>
      <c r="AB404" s="82"/>
      <c r="AC404" s="82"/>
      <c r="AE404" s="7" t="s">
        <v>472</v>
      </c>
      <c r="AH404" s="23">
        <f>SUM('2020 detail'!J404:U404)+'2020 detail'!AA404+'2020 detail'!AB404</f>
        <v>16981</v>
      </c>
      <c r="AJ404" s="23">
        <f t="shared" si="88"/>
        <v>312</v>
      </c>
      <c r="AL404" t="str">
        <f t="shared" si="89"/>
        <v>Up</v>
      </c>
      <c r="AM404" t="s">
        <v>1116</v>
      </c>
      <c r="AQ404" s="23">
        <v>1103.08</v>
      </c>
    </row>
    <row r="405" spans="1:43" x14ac:dyDescent="0.2">
      <c r="A405" s="144" t="s">
        <v>302</v>
      </c>
      <c r="B405" s="9" t="s">
        <v>495</v>
      </c>
      <c r="C405" s="9" t="s">
        <v>495</v>
      </c>
      <c r="D405" s="9" t="s">
        <v>495</v>
      </c>
      <c r="E405" s="9"/>
      <c r="F405" s="9" t="s">
        <v>495</v>
      </c>
      <c r="G405" s="83">
        <v>2792</v>
      </c>
      <c r="H405" s="83">
        <f t="shared" si="85"/>
        <v>2792.0000000000005</v>
      </c>
      <c r="I405" s="133">
        <f t="shared" si="90"/>
        <v>1</v>
      </c>
      <c r="J405" s="82">
        <v>232.74</v>
      </c>
      <c r="K405" s="82">
        <v>232.74</v>
      </c>
      <c r="L405" s="82">
        <v>232.67</v>
      </c>
      <c r="M405" s="82">
        <v>232.65</v>
      </c>
      <c r="N405" s="82">
        <v>232.65</v>
      </c>
      <c r="O405" s="82">
        <v>232.65</v>
      </c>
      <c r="P405" s="82">
        <v>232.65</v>
      </c>
      <c r="Q405" s="82">
        <v>232.65</v>
      </c>
      <c r="R405" s="82">
        <v>232.65</v>
      </c>
      <c r="S405" s="23">
        <v>232.65</v>
      </c>
      <c r="T405" s="23">
        <v>232.65</v>
      </c>
      <c r="U405" s="23">
        <v>232.65</v>
      </c>
      <c r="V405" s="7" t="s">
        <v>783</v>
      </c>
      <c r="W405" s="82">
        <f t="shared" si="87"/>
        <v>0</v>
      </c>
      <c r="Y405" s="4"/>
      <c r="AA405" s="82">
        <v>0</v>
      </c>
      <c r="AB405" s="82"/>
      <c r="AC405" s="82"/>
      <c r="AE405" s="7" t="s">
        <v>472</v>
      </c>
      <c r="AH405" s="23">
        <f>SUM('2020 detail'!J405:U405)+'2020 detail'!AA405+'2020 detail'!AB405</f>
        <v>2792</v>
      </c>
      <c r="AJ405" s="23">
        <f t="shared" si="88"/>
        <v>0</v>
      </c>
      <c r="AL405" t="str">
        <f t="shared" si="89"/>
        <v>Same</v>
      </c>
      <c r="AQ405" s="23">
        <v>232.65</v>
      </c>
    </row>
    <row r="406" spans="1:43" x14ac:dyDescent="0.2">
      <c r="A406" s="144" t="s">
        <v>303</v>
      </c>
      <c r="B406" s="9" t="s">
        <v>495</v>
      </c>
      <c r="C406" s="9" t="s">
        <v>495</v>
      </c>
      <c r="D406" s="9">
        <v>0</v>
      </c>
      <c r="E406" s="9"/>
      <c r="F406" s="9">
        <v>0</v>
      </c>
      <c r="G406" s="83">
        <v>8878</v>
      </c>
      <c r="H406" s="83">
        <f t="shared" si="85"/>
        <v>8878</v>
      </c>
      <c r="I406" s="133">
        <f t="shared" si="90"/>
        <v>1</v>
      </c>
      <c r="J406" s="82">
        <v>0</v>
      </c>
      <c r="K406" s="82"/>
      <c r="L406" s="82">
        <v>8878</v>
      </c>
      <c r="M406" s="82"/>
      <c r="N406" s="82"/>
      <c r="O406" s="82"/>
      <c r="P406" s="82"/>
      <c r="Q406" s="82"/>
      <c r="R406" s="82"/>
      <c r="S406" s="23"/>
      <c r="T406" s="23"/>
      <c r="U406" s="23"/>
      <c r="V406" s="7" t="s">
        <v>784</v>
      </c>
      <c r="W406" s="82">
        <f t="shared" si="87"/>
        <v>0</v>
      </c>
      <c r="Y406" s="4"/>
      <c r="AA406" s="82">
        <v>0</v>
      </c>
      <c r="AB406" s="82"/>
      <c r="AC406" s="82"/>
      <c r="AE406" s="7" t="s">
        <v>472</v>
      </c>
      <c r="AH406" s="23">
        <f>SUM('2020 detail'!J406:U406)+'2020 detail'!AA406+'2020 detail'!AB406</f>
        <v>8878</v>
      </c>
      <c r="AJ406" s="23">
        <f t="shared" si="88"/>
        <v>0</v>
      </c>
      <c r="AL406" t="str">
        <f t="shared" si="89"/>
        <v>Same</v>
      </c>
    </row>
    <row r="407" spans="1:43" x14ac:dyDescent="0.2">
      <c r="A407" s="144" t="s">
        <v>304</v>
      </c>
      <c r="B407" s="9" t="s">
        <v>495</v>
      </c>
      <c r="C407" s="9" t="s">
        <v>495</v>
      </c>
      <c r="D407" s="9" t="s">
        <v>495</v>
      </c>
      <c r="E407" s="9"/>
      <c r="F407" s="9" t="s">
        <v>495</v>
      </c>
      <c r="G407" s="83">
        <v>19182</v>
      </c>
      <c r="H407" s="83">
        <f t="shared" si="85"/>
        <v>19182</v>
      </c>
      <c r="I407" s="133">
        <f t="shared" si="90"/>
        <v>1</v>
      </c>
      <c r="J407" s="82">
        <v>1598.5</v>
      </c>
      <c r="K407" s="82">
        <v>1598.5</v>
      </c>
      <c r="L407" s="82">
        <v>1598.5</v>
      </c>
      <c r="M407" s="82">
        <v>1598.5</v>
      </c>
      <c r="N407" s="82">
        <v>1598.5</v>
      </c>
      <c r="O407" s="82">
        <v>1598.5</v>
      </c>
      <c r="P407" s="82">
        <v>1598.5</v>
      </c>
      <c r="Q407" s="82">
        <v>1598.5</v>
      </c>
      <c r="R407" s="82">
        <v>1598.5</v>
      </c>
      <c r="S407" s="23">
        <v>1598.5</v>
      </c>
      <c r="T407" s="23">
        <v>1598.5</v>
      </c>
      <c r="U407" s="23">
        <v>1598.5</v>
      </c>
      <c r="V407" s="7" t="s">
        <v>785</v>
      </c>
      <c r="W407" s="82">
        <f t="shared" si="87"/>
        <v>0</v>
      </c>
      <c r="Y407" s="4"/>
      <c r="AA407" s="82">
        <v>0</v>
      </c>
      <c r="AB407" s="82"/>
      <c r="AC407" s="82"/>
      <c r="AE407" s="7" t="s">
        <v>472</v>
      </c>
      <c r="AH407" s="23">
        <f>SUM('2020 detail'!J407:U407)+'2020 detail'!AA407+'2020 detail'!AB407</f>
        <v>19182</v>
      </c>
      <c r="AJ407" s="23">
        <f t="shared" si="88"/>
        <v>0</v>
      </c>
      <c r="AL407" t="str">
        <f t="shared" si="89"/>
        <v>Same</v>
      </c>
      <c r="AQ407" s="23">
        <v>1598.5</v>
      </c>
    </row>
    <row r="408" spans="1:43" x14ac:dyDescent="0.2">
      <c r="A408" s="144" t="s">
        <v>305</v>
      </c>
      <c r="B408" s="9" t="s">
        <v>495</v>
      </c>
      <c r="C408" s="9" t="s">
        <v>495</v>
      </c>
      <c r="D408" s="9">
        <v>0</v>
      </c>
      <c r="E408" s="9"/>
      <c r="F408" s="9" t="s">
        <v>638</v>
      </c>
      <c r="G408" s="83">
        <v>11113</v>
      </c>
      <c r="H408" s="83">
        <f t="shared" si="85"/>
        <v>11112.999999999998</v>
      </c>
      <c r="I408" s="133">
        <f t="shared" si="90"/>
        <v>1</v>
      </c>
      <c r="J408" s="82">
        <v>919.96</v>
      </c>
      <c r="K408" s="82">
        <v>926.64</v>
      </c>
      <c r="L408" s="82">
        <v>926.64</v>
      </c>
      <c r="M408" s="82">
        <v>926.64</v>
      </c>
      <c r="N408" s="82">
        <v>926.64</v>
      </c>
      <c r="O408" s="82">
        <v>926.64</v>
      </c>
      <c r="P408" s="82">
        <v>926.64</v>
      </c>
      <c r="Q408" s="82">
        <v>926.64</v>
      </c>
      <c r="R408" s="82">
        <v>926.64</v>
      </c>
      <c r="S408" s="23">
        <v>926.64</v>
      </c>
      <c r="T408" s="23">
        <v>926.64</v>
      </c>
      <c r="U408" s="23">
        <v>926.64</v>
      </c>
      <c r="V408" s="7" t="s">
        <v>786</v>
      </c>
      <c r="W408" s="82">
        <f t="shared" si="87"/>
        <v>0</v>
      </c>
      <c r="Y408" s="4"/>
      <c r="AA408" s="82">
        <v>0</v>
      </c>
      <c r="AB408" s="82"/>
      <c r="AC408" s="82"/>
      <c r="AE408" s="7" t="s">
        <v>473</v>
      </c>
      <c r="AH408" s="23">
        <f>SUM('2020 detail'!J408:U408)+'2020 detail'!AA408+'2020 detail'!AB408</f>
        <v>11113</v>
      </c>
      <c r="AJ408" s="23">
        <f t="shared" si="88"/>
        <v>0</v>
      </c>
      <c r="AL408" t="str">
        <f t="shared" si="89"/>
        <v>Same</v>
      </c>
      <c r="AQ408" s="23">
        <v>926.64</v>
      </c>
    </row>
    <row r="409" spans="1:43" x14ac:dyDescent="0.2">
      <c r="A409" s="144" t="s">
        <v>306</v>
      </c>
      <c r="B409" s="9" t="s">
        <v>495</v>
      </c>
      <c r="C409" s="9" t="s">
        <v>495</v>
      </c>
      <c r="D409" s="9" t="s">
        <v>495</v>
      </c>
      <c r="E409" s="9"/>
      <c r="F409" s="9" t="s">
        <v>495</v>
      </c>
      <c r="G409" s="83">
        <v>1933</v>
      </c>
      <c r="H409" s="83">
        <f t="shared" si="85"/>
        <v>1932.9999999999998</v>
      </c>
      <c r="I409" s="133">
        <f t="shared" si="90"/>
        <v>1</v>
      </c>
      <c r="J409" s="82">
        <v>161.08000000000001</v>
      </c>
      <c r="K409" s="82">
        <v>161.08000000000001</v>
      </c>
      <c r="L409" s="82">
        <v>161.12</v>
      </c>
      <c r="M409" s="82">
        <v>161.08000000000001</v>
      </c>
      <c r="N409" s="82">
        <v>161.08000000000001</v>
      </c>
      <c r="O409" s="82">
        <v>161.08000000000001</v>
      </c>
      <c r="P409" s="82">
        <v>161.08000000000001</v>
      </c>
      <c r="Q409" s="82">
        <v>161.08000000000001</v>
      </c>
      <c r="R409" s="82">
        <v>161.08000000000001</v>
      </c>
      <c r="S409" s="23">
        <v>161.08000000000001</v>
      </c>
      <c r="T409" s="23">
        <v>161.08000000000001</v>
      </c>
      <c r="U409" s="23">
        <v>161.08000000000001</v>
      </c>
      <c r="V409" s="7" t="s">
        <v>787</v>
      </c>
      <c r="W409" s="82">
        <f t="shared" si="87"/>
        <v>0</v>
      </c>
      <c r="Y409" s="4"/>
      <c r="AA409" s="82">
        <v>0</v>
      </c>
      <c r="AB409" s="82"/>
      <c r="AC409" s="82"/>
      <c r="AE409" s="7" t="s">
        <v>472</v>
      </c>
      <c r="AH409" s="23">
        <f>SUM('2020 detail'!J409:U409)+'2020 detail'!AA409+'2020 detail'!AB409</f>
        <v>1932.9999999999998</v>
      </c>
      <c r="AJ409" s="23">
        <f t="shared" si="88"/>
        <v>0</v>
      </c>
      <c r="AL409" t="str">
        <f t="shared" si="89"/>
        <v>Same</v>
      </c>
      <c r="AQ409" s="23">
        <v>161.08000000000001</v>
      </c>
    </row>
    <row r="410" spans="1:43" x14ac:dyDescent="0.2">
      <c r="A410" s="144" t="s">
        <v>307</v>
      </c>
      <c r="B410" s="9" t="s">
        <v>495</v>
      </c>
      <c r="C410" s="9" t="s">
        <v>495</v>
      </c>
      <c r="D410" s="9" t="s">
        <v>495</v>
      </c>
      <c r="E410" s="9"/>
      <c r="F410" s="9" t="s">
        <v>495</v>
      </c>
      <c r="G410" s="83">
        <v>21114</v>
      </c>
      <c r="H410" s="83">
        <f t="shared" si="85"/>
        <v>21114.23</v>
      </c>
      <c r="I410" s="133">
        <f t="shared" si="90"/>
        <v>1</v>
      </c>
      <c r="J410" s="82">
        <v>1000</v>
      </c>
      <c r="K410" s="82">
        <v>1000</v>
      </c>
      <c r="L410" s="82">
        <v>1000</v>
      </c>
      <c r="M410" s="82">
        <v>1000</v>
      </c>
      <c r="N410" s="82">
        <v>1000</v>
      </c>
      <c r="O410" s="82">
        <v>1000</v>
      </c>
      <c r="P410" s="82">
        <v>1000</v>
      </c>
      <c r="Q410" s="82">
        <v>6000</v>
      </c>
      <c r="R410" s="82">
        <v>1000</v>
      </c>
      <c r="S410" s="23">
        <v>1000</v>
      </c>
      <c r="T410" s="23">
        <v>1000</v>
      </c>
      <c r="U410" s="23">
        <v>5114.2299999999996</v>
      </c>
      <c r="V410" s="7" t="s">
        <v>788</v>
      </c>
      <c r="W410" s="82">
        <f t="shared" si="87"/>
        <v>-0.23</v>
      </c>
      <c r="Y410" s="4"/>
      <c r="AA410" s="82">
        <v>0</v>
      </c>
      <c r="AB410" s="82"/>
      <c r="AC410" s="82"/>
      <c r="AE410" s="7" t="s">
        <v>473</v>
      </c>
      <c r="AH410" s="23">
        <f>SUM('2020 detail'!J410:U410)+'2020 detail'!AA410+'2020 detail'!AB410</f>
        <v>20743.8</v>
      </c>
      <c r="AJ410" s="23">
        <f t="shared" si="88"/>
        <v>370.43000000000029</v>
      </c>
      <c r="AL410" t="str">
        <f t="shared" si="89"/>
        <v>Up</v>
      </c>
      <c r="AQ410" s="23">
        <v>5114.2299999999996</v>
      </c>
    </row>
    <row r="411" spans="1:43" x14ac:dyDescent="0.2">
      <c r="A411" s="144" t="s">
        <v>308</v>
      </c>
      <c r="B411" s="9" t="s">
        <v>495</v>
      </c>
      <c r="C411" s="9" t="s">
        <v>495</v>
      </c>
      <c r="D411" s="9" t="s">
        <v>495</v>
      </c>
      <c r="E411" s="9"/>
      <c r="F411" s="9">
        <v>0</v>
      </c>
      <c r="G411" s="83">
        <v>3334</v>
      </c>
      <c r="H411" s="83">
        <f t="shared" si="85"/>
        <v>3337.8100000000004</v>
      </c>
      <c r="I411" s="133">
        <f t="shared" si="90"/>
        <v>1.0011000000000001</v>
      </c>
      <c r="J411" s="82">
        <v>0</v>
      </c>
      <c r="K411" s="82">
        <v>0</v>
      </c>
      <c r="L411" s="82">
        <v>610</v>
      </c>
      <c r="M411" s="82">
        <v>303.08999999999997</v>
      </c>
      <c r="N411" s="82">
        <v>303.08999999999997</v>
      </c>
      <c r="O411" s="82">
        <v>303.08999999999997</v>
      </c>
      <c r="P411" s="82">
        <v>303.08999999999997</v>
      </c>
      <c r="Q411" s="82">
        <v>303.08999999999997</v>
      </c>
      <c r="R411" s="82">
        <v>303.08999999999997</v>
      </c>
      <c r="S411" s="23">
        <v>303.08999999999997</v>
      </c>
      <c r="T411" s="23">
        <v>303.08999999999997</v>
      </c>
      <c r="U411" s="23">
        <v>303.08999999999997</v>
      </c>
      <c r="V411" s="7" t="s">
        <v>789</v>
      </c>
      <c r="W411" s="82">
        <f t="shared" si="87"/>
        <v>-3.81</v>
      </c>
      <c r="Y411" s="4"/>
      <c r="AA411" s="82">
        <v>0</v>
      </c>
      <c r="AB411" s="82"/>
      <c r="AC411" s="82"/>
      <c r="AE411" s="7" t="s">
        <v>473</v>
      </c>
      <c r="AH411" s="23">
        <f>SUM('2020 detail'!J411:U411)+'2020 detail'!AA411+'2020 detail'!AB411</f>
        <v>4300</v>
      </c>
      <c r="AJ411" s="23">
        <f t="shared" si="88"/>
        <v>-962.1899999999996</v>
      </c>
      <c r="AL411" t="str">
        <f t="shared" si="89"/>
        <v>Down</v>
      </c>
      <c r="AM411" t="s">
        <v>1117</v>
      </c>
      <c r="AQ411" s="23">
        <v>299.27999999999997</v>
      </c>
    </row>
    <row r="412" spans="1:43" x14ac:dyDescent="0.2">
      <c r="A412" s="144" t="s">
        <v>309</v>
      </c>
      <c r="B412" s="9" t="s">
        <v>495</v>
      </c>
      <c r="C412" s="9">
        <v>0</v>
      </c>
      <c r="D412" s="9" t="s">
        <v>495</v>
      </c>
      <c r="E412" s="9"/>
      <c r="F412" s="9">
        <v>0</v>
      </c>
      <c r="G412" s="83">
        <v>6297</v>
      </c>
      <c r="H412" s="83">
        <f t="shared" si="85"/>
        <v>4000</v>
      </c>
      <c r="I412" s="133">
        <f t="shared" si="90"/>
        <v>0.63519999999999999</v>
      </c>
      <c r="J412" s="82">
        <v>0</v>
      </c>
      <c r="K412" s="82"/>
      <c r="L412" s="82"/>
      <c r="M412" s="82"/>
      <c r="N412" s="82"/>
      <c r="O412" s="82">
        <v>1500</v>
      </c>
      <c r="P412" s="82"/>
      <c r="Q412" s="82"/>
      <c r="R412" s="82"/>
      <c r="S412" s="23"/>
      <c r="T412" s="23"/>
      <c r="U412" s="23">
        <v>2500</v>
      </c>
      <c r="V412" s="7" t="s">
        <v>790</v>
      </c>
      <c r="W412" s="82">
        <f t="shared" si="87"/>
        <v>2297</v>
      </c>
      <c r="Y412" s="4"/>
      <c r="AA412" s="82">
        <v>0</v>
      </c>
      <c r="AB412" s="82"/>
      <c r="AC412" s="82"/>
      <c r="AE412" s="7" t="s">
        <v>473</v>
      </c>
      <c r="AH412" s="23">
        <f>SUM('2020 detail'!J412:U412)+'2020 detail'!AA412+'2020 detail'!AB412</f>
        <v>4000</v>
      </c>
      <c r="AJ412" s="23">
        <f t="shared" si="88"/>
        <v>0</v>
      </c>
      <c r="AL412" t="str">
        <f t="shared" si="89"/>
        <v>Same</v>
      </c>
      <c r="AQ412" s="23">
        <v>2500</v>
      </c>
    </row>
    <row r="413" spans="1:43" x14ac:dyDescent="0.2">
      <c r="A413" s="144" t="s">
        <v>310</v>
      </c>
      <c r="B413" s="9" t="s">
        <v>495</v>
      </c>
      <c r="C413" s="9" t="s">
        <v>495</v>
      </c>
      <c r="D413" s="9" t="s">
        <v>495</v>
      </c>
      <c r="E413" s="9"/>
      <c r="F413" s="9" t="s">
        <v>495</v>
      </c>
      <c r="G413" s="83">
        <v>22500</v>
      </c>
      <c r="H413" s="83">
        <f t="shared" si="85"/>
        <v>16000</v>
      </c>
      <c r="I413" s="133">
        <f t="shared" si="90"/>
        <v>0.71109999999999995</v>
      </c>
      <c r="J413" s="82">
        <v>1000</v>
      </c>
      <c r="K413" s="82">
        <v>1000</v>
      </c>
      <c r="L413" s="82">
        <v>1000</v>
      </c>
      <c r="M413" s="82">
        <v>1000</v>
      </c>
      <c r="N413" s="82">
        <v>1000</v>
      </c>
      <c r="O413" s="82">
        <v>1000</v>
      </c>
      <c r="P413" s="82">
        <v>1000</v>
      </c>
      <c r="Q413" s="82">
        <v>1000</v>
      </c>
      <c r="R413" s="82">
        <v>1000</v>
      </c>
      <c r="S413" s="23">
        <v>1000</v>
      </c>
      <c r="T413" s="23">
        <v>1000</v>
      </c>
      <c r="U413" s="23">
        <v>5000</v>
      </c>
      <c r="V413" s="7" t="s">
        <v>791</v>
      </c>
      <c r="W413" s="82">
        <f t="shared" si="87"/>
        <v>6500</v>
      </c>
      <c r="Y413" s="4"/>
      <c r="AA413" s="82">
        <v>0</v>
      </c>
      <c r="AB413" s="82"/>
      <c r="AC413" s="82"/>
      <c r="AE413" s="7" t="s">
        <v>475</v>
      </c>
      <c r="AH413" s="23">
        <f>SUM('2020 detail'!J413:U413)+'2020 detail'!AA413+'2020 detail'!AB413</f>
        <v>19500</v>
      </c>
      <c r="AJ413" s="23">
        <f t="shared" si="88"/>
        <v>-3500</v>
      </c>
      <c r="AL413" t="str">
        <f t="shared" si="89"/>
        <v>Down</v>
      </c>
      <c r="AQ413" s="23">
        <v>5000</v>
      </c>
    </row>
    <row r="414" spans="1:43" x14ac:dyDescent="0.2">
      <c r="A414" s="144" t="s">
        <v>311</v>
      </c>
      <c r="B414" s="9" t="s">
        <v>495</v>
      </c>
      <c r="C414" s="9">
        <v>0</v>
      </c>
      <c r="D414" s="9">
        <v>0</v>
      </c>
      <c r="E414" s="9"/>
      <c r="F414" s="9" t="s">
        <v>495</v>
      </c>
      <c r="G414" s="83">
        <v>13172</v>
      </c>
      <c r="H414" s="83">
        <f t="shared" si="85"/>
        <v>13171.999999999998</v>
      </c>
      <c r="I414" s="133">
        <f t="shared" si="90"/>
        <v>1</v>
      </c>
      <c r="J414" s="82">
        <v>1215.73</v>
      </c>
      <c r="K414" s="82">
        <v>1215.73</v>
      </c>
      <c r="L414" s="82">
        <v>1074.0899999999999</v>
      </c>
      <c r="M414" s="82">
        <v>1074.05</v>
      </c>
      <c r="N414" s="82">
        <v>1074.05</v>
      </c>
      <c r="O414" s="82">
        <v>1074.05</v>
      </c>
      <c r="P414" s="82">
        <v>1074.05</v>
      </c>
      <c r="Q414" s="82">
        <v>1074.05</v>
      </c>
      <c r="R414" s="82">
        <v>1074.05</v>
      </c>
      <c r="S414" s="23">
        <v>1074.05</v>
      </c>
      <c r="T414" s="23">
        <v>1074.05</v>
      </c>
      <c r="U414" s="23">
        <v>1074.05</v>
      </c>
      <c r="V414" s="7" t="s">
        <v>792</v>
      </c>
      <c r="W414" s="82">
        <f t="shared" si="87"/>
        <v>0</v>
      </c>
      <c r="Y414" s="4"/>
      <c r="AA414" s="82">
        <v>0</v>
      </c>
      <c r="AB414" s="82"/>
      <c r="AC414" s="82"/>
      <c r="AE414" s="7" t="s">
        <v>474</v>
      </c>
      <c r="AH414" s="23">
        <f>SUM('2020 detail'!J414:U414)+'2020 detail'!AA414+'2020 detail'!AB414</f>
        <v>14550.999999999996</v>
      </c>
      <c r="AJ414" s="23">
        <f t="shared" si="88"/>
        <v>-1378.9999999999982</v>
      </c>
      <c r="AL414" t="str">
        <f t="shared" si="89"/>
        <v>Down</v>
      </c>
      <c r="AQ414" s="23">
        <v>1074.05</v>
      </c>
    </row>
    <row r="415" spans="1:43" x14ac:dyDescent="0.2">
      <c r="A415" s="144" t="s">
        <v>312</v>
      </c>
      <c r="B415" s="9" t="s">
        <v>495</v>
      </c>
      <c r="C415" s="9" t="s">
        <v>495</v>
      </c>
      <c r="D415" s="9" t="s">
        <v>495</v>
      </c>
      <c r="E415" s="9"/>
      <c r="F415" s="9">
        <v>0</v>
      </c>
      <c r="G415" s="83">
        <v>2100</v>
      </c>
      <c r="H415" s="83">
        <f t="shared" si="85"/>
        <v>0</v>
      </c>
      <c r="I415" s="133">
        <f t="shared" si="90"/>
        <v>0</v>
      </c>
      <c r="J415" s="82">
        <v>0</v>
      </c>
      <c r="K415" s="82"/>
      <c r="L415" s="82"/>
      <c r="M415" s="82"/>
      <c r="N415" s="82"/>
      <c r="O415" s="82"/>
      <c r="P415" s="82"/>
      <c r="Q415" s="82"/>
      <c r="R415" s="82"/>
      <c r="S415" s="23"/>
      <c r="T415" s="23"/>
      <c r="U415" s="23"/>
      <c r="V415" s="7" t="s">
        <v>793</v>
      </c>
      <c r="W415" s="82">
        <f t="shared" si="87"/>
        <v>2100</v>
      </c>
      <c r="Y415" s="4"/>
      <c r="AA415" s="82">
        <v>0</v>
      </c>
      <c r="AB415" s="82"/>
      <c r="AC415" s="82"/>
      <c r="AE415" s="7" t="s">
        <v>474</v>
      </c>
      <c r="AH415" s="23">
        <f>SUM('2020 detail'!J415:U415)+'2020 detail'!AA415+'2020 detail'!AB415</f>
        <v>0</v>
      </c>
      <c r="AJ415" s="23">
        <f t="shared" si="88"/>
        <v>0</v>
      </c>
      <c r="AL415" t="str">
        <f t="shared" si="89"/>
        <v>Same</v>
      </c>
    </row>
    <row r="416" spans="1:43" x14ac:dyDescent="0.2">
      <c r="A416" s="144" t="s">
        <v>313</v>
      </c>
      <c r="B416" s="9" t="s">
        <v>495</v>
      </c>
      <c r="C416" s="9" t="s">
        <v>495</v>
      </c>
      <c r="D416" s="9" t="s">
        <v>495</v>
      </c>
      <c r="E416" s="9"/>
      <c r="F416" s="9">
        <v>0</v>
      </c>
      <c r="G416" s="83">
        <v>11141</v>
      </c>
      <c r="H416" s="83">
        <f t="shared" si="85"/>
        <v>11141</v>
      </c>
      <c r="I416" s="133">
        <f t="shared" si="90"/>
        <v>1</v>
      </c>
      <c r="J416" s="82">
        <v>500</v>
      </c>
      <c r="K416" s="82">
        <v>1000</v>
      </c>
      <c r="L416" s="82">
        <v>1000</v>
      </c>
      <c r="M416" s="82">
        <v>500</v>
      </c>
      <c r="N416" s="82">
        <v>1000</v>
      </c>
      <c r="O416" s="82">
        <v>500</v>
      </c>
      <c r="P416" s="82">
        <v>2000</v>
      </c>
      <c r="Q416" s="82"/>
      <c r="R416" s="82">
        <v>1000</v>
      </c>
      <c r="S416" s="23">
        <v>1000</v>
      </c>
      <c r="T416" s="23">
        <v>1141</v>
      </c>
      <c r="U416" s="23">
        <v>1500</v>
      </c>
      <c r="V416" s="7" t="s">
        <v>794</v>
      </c>
      <c r="W416" s="82">
        <f t="shared" si="87"/>
        <v>0</v>
      </c>
      <c r="Y416" s="4"/>
      <c r="AA416" s="82">
        <v>0</v>
      </c>
      <c r="AB416" s="82"/>
      <c r="AC416" s="82"/>
      <c r="AE416" s="7" t="s">
        <v>474</v>
      </c>
      <c r="AH416" s="23">
        <f>SUM('2020 detail'!J416:U416)+'2020 detail'!AA416+'2020 detail'!AB416</f>
        <v>8500</v>
      </c>
      <c r="AJ416" s="23">
        <f t="shared" si="88"/>
        <v>2641</v>
      </c>
      <c r="AL416" t="str">
        <f t="shared" si="89"/>
        <v>Up</v>
      </c>
      <c r="AQ416" s="23">
        <v>1500</v>
      </c>
    </row>
    <row r="417" spans="1:43" x14ac:dyDescent="0.2">
      <c r="A417" s="144" t="s">
        <v>314</v>
      </c>
      <c r="B417" s="9" t="s">
        <v>495</v>
      </c>
      <c r="C417" s="9" t="s">
        <v>495</v>
      </c>
      <c r="D417" s="9">
        <v>0</v>
      </c>
      <c r="E417" s="9"/>
      <c r="F417" s="9">
        <v>0</v>
      </c>
      <c r="G417" s="83">
        <v>6938</v>
      </c>
      <c r="H417" s="83">
        <f t="shared" si="85"/>
        <v>4000</v>
      </c>
      <c r="I417" s="133">
        <f t="shared" si="90"/>
        <v>0.57650000000000001</v>
      </c>
      <c r="J417" s="82">
        <v>0</v>
      </c>
      <c r="K417" s="82"/>
      <c r="L417" s="82"/>
      <c r="M417" s="82"/>
      <c r="N417" s="82"/>
      <c r="O417" s="82"/>
      <c r="P417" s="82">
        <v>1000</v>
      </c>
      <c r="Q417" s="82"/>
      <c r="R417" s="82"/>
      <c r="S417" s="23"/>
      <c r="T417" s="23"/>
      <c r="U417" s="23">
        <v>3000</v>
      </c>
      <c r="V417" s="7" t="s">
        <v>795</v>
      </c>
      <c r="W417" s="82">
        <f t="shared" si="87"/>
        <v>2938</v>
      </c>
      <c r="Y417" s="4"/>
      <c r="AA417" s="82">
        <v>0</v>
      </c>
      <c r="AB417" s="82"/>
      <c r="AC417" s="82"/>
      <c r="AE417" s="7" t="s">
        <v>474</v>
      </c>
      <c r="AH417" s="23">
        <f>SUM('2020 detail'!J417:U417)+'2020 detail'!AA417+'2020 detail'!AB417</f>
        <v>4000</v>
      </c>
      <c r="AJ417" s="23">
        <f t="shared" si="88"/>
        <v>0</v>
      </c>
      <c r="AL417" t="str">
        <f t="shared" si="89"/>
        <v>Same</v>
      </c>
      <c r="AQ417" s="23">
        <v>3000</v>
      </c>
    </row>
    <row r="418" spans="1:43" x14ac:dyDescent="0.2">
      <c r="A418" s="144" t="s">
        <v>315</v>
      </c>
      <c r="B418" s="9" t="s">
        <v>495</v>
      </c>
      <c r="C418" s="9" t="s">
        <v>495</v>
      </c>
      <c r="D418" s="9">
        <v>0</v>
      </c>
      <c r="E418" s="9"/>
      <c r="F418" s="9">
        <v>0</v>
      </c>
      <c r="G418" s="83">
        <v>7943</v>
      </c>
      <c r="H418" s="83">
        <f t="shared" si="85"/>
        <v>7943</v>
      </c>
      <c r="I418" s="133">
        <f t="shared" si="90"/>
        <v>1</v>
      </c>
      <c r="J418" s="82">
        <v>0</v>
      </c>
      <c r="K418" s="82"/>
      <c r="L418" s="82"/>
      <c r="M418" s="82"/>
      <c r="N418" s="82"/>
      <c r="O418" s="82"/>
      <c r="P418" s="82"/>
      <c r="Q418" s="82"/>
      <c r="R418" s="82">
        <v>3500</v>
      </c>
      <c r="S418" s="23">
        <v>3000</v>
      </c>
      <c r="T418" s="23"/>
      <c r="U418" s="23">
        <v>1443</v>
      </c>
      <c r="V418" s="7" t="s">
        <v>796</v>
      </c>
      <c r="W418" s="82">
        <f t="shared" si="87"/>
        <v>0</v>
      </c>
      <c r="Y418" s="4"/>
      <c r="AA418" s="82">
        <v>0</v>
      </c>
      <c r="AB418" s="82"/>
      <c r="AC418" s="82"/>
      <c r="AE418" s="7" t="s">
        <v>474</v>
      </c>
      <c r="AH418" s="23">
        <f>SUM('2020 detail'!J418:U418)+'2020 detail'!AA418+'2020 detail'!AB418</f>
        <v>4898</v>
      </c>
      <c r="AJ418" s="23">
        <f t="shared" si="88"/>
        <v>3045</v>
      </c>
      <c r="AL418" t="str">
        <f t="shared" si="89"/>
        <v>Up</v>
      </c>
      <c r="AQ418" s="23">
        <v>1443</v>
      </c>
    </row>
    <row r="419" spans="1:43" x14ac:dyDescent="0.2">
      <c r="A419" s="144" t="s">
        <v>316</v>
      </c>
      <c r="B419" s="9" t="s">
        <v>495</v>
      </c>
      <c r="C419" s="9" t="s">
        <v>495</v>
      </c>
      <c r="D419" s="9">
        <v>0</v>
      </c>
      <c r="E419" s="9"/>
      <c r="F419" s="9" t="s">
        <v>495</v>
      </c>
      <c r="G419" s="83">
        <v>90000</v>
      </c>
      <c r="H419" s="83">
        <f t="shared" si="85"/>
        <v>94587</v>
      </c>
      <c r="I419" s="133">
        <f t="shared" si="90"/>
        <v>1.0509999999999999</v>
      </c>
      <c r="J419" s="82">
        <v>7500</v>
      </c>
      <c r="K419" s="82">
        <v>7500</v>
      </c>
      <c r="L419" s="82">
        <v>7500</v>
      </c>
      <c r="M419" s="82">
        <v>7500</v>
      </c>
      <c r="N419" s="82">
        <v>7500</v>
      </c>
      <c r="O419" s="82">
        <v>7500</v>
      </c>
      <c r="P419" s="82">
        <v>7500</v>
      </c>
      <c r="Q419" s="82">
        <v>7500</v>
      </c>
      <c r="R419" s="82">
        <v>7500</v>
      </c>
      <c r="S419" s="23">
        <v>7500</v>
      </c>
      <c r="T419" s="23">
        <v>7500</v>
      </c>
      <c r="U419" s="23">
        <v>12087</v>
      </c>
      <c r="V419" s="7" t="s">
        <v>797</v>
      </c>
      <c r="W419" s="82">
        <f t="shared" si="87"/>
        <v>-4587</v>
      </c>
      <c r="Y419" s="4"/>
      <c r="AA419" s="82">
        <v>0</v>
      </c>
      <c r="AB419" s="82"/>
      <c r="AC419" s="82"/>
      <c r="AE419" s="7" t="s">
        <v>475</v>
      </c>
      <c r="AH419" s="23">
        <f>SUM('2020 detail'!J419:U419)+'2020 detail'!AA419+'2020 detail'!AB419</f>
        <v>90000</v>
      </c>
      <c r="AJ419" s="23">
        <f t="shared" si="88"/>
        <v>4587</v>
      </c>
      <c r="AL419" t="str">
        <f t="shared" si="89"/>
        <v>Up</v>
      </c>
      <c r="AQ419" s="23">
        <v>12087</v>
      </c>
    </row>
    <row r="420" spans="1:43" x14ac:dyDescent="0.2">
      <c r="A420" s="144" t="s">
        <v>317</v>
      </c>
      <c r="B420" s="9" t="s">
        <v>495</v>
      </c>
      <c r="C420" s="9">
        <v>0</v>
      </c>
      <c r="D420" s="9" t="s">
        <v>495</v>
      </c>
      <c r="E420" s="9"/>
      <c r="F420" s="9" t="s">
        <v>495</v>
      </c>
      <c r="G420" s="83">
        <v>5000</v>
      </c>
      <c r="H420" s="83">
        <f t="shared" si="85"/>
        <v>5249.9999999999991</v>
      </c>
      <c r="I420" s="133">
        <f t="shared" si="90"/>
        <v>1.05</v>
      </c>
      <c r="J420" s="82">
        <v>416.66</v>
      </c>
      <c r="K420" s="82">
        <v>416.74</v>
      </c>
      <c r="L420" s="82">
        <v>416.66</v>
      </c>
      <c r="M420" s="82">
        <v>416.66</v>
      </c>
      <c r="N420" s="82">
        <v>416.66</v>
      </c>
      <c r="O420" s="82">
        <v>416.66</v>
      </c>
      <c r="P420" s="82">
        <v>416.66</v>
      </c>
      <c r="Q420" s="82">
        <v>416.66</v>
      </c>
      <c r="R420" s="82">
        <v>416.66</v>
      </c>
      <c r="S420" s="23">
        <v>416.66</v>
      </c>
      <c r="T420" s="23">
        <v>416.66</v>
      </c>
      <c r="U420" s="23">
        <v>416.66</v>
      </c>
      <c r="V420" s="7" t="s">
        <v>798</v>
      </c>
      <c r="W420" s="82">
        <f t="shared" si="87"/>
        <v>-250</v>
      </c>
      <c r="Y420" s="4"/>
      <c r="AA420" s="82">
        <v>250</v>
      </c>
      <c r="AB420" s="82"/>
      <c r="AC420" s="82"/>
      <c r="AE420" s="7" t="s">
        <v>475</v>
      </c>
      <c r="AH420" s="23">
        <f>SUM('2020 detail'!J420:U420)+'2020 detail'!AA420+'2020 detail'!AB420</f>
        <v>4999.9999999999991</v>
      </c>
      <c r="AJ420" s="23">
        <f t="shared" si="88"/>
        <v>250</v>
      </c>
      <c r="AL420" t="str">
        <f t="shared" si="89"/>
        <v>Up</v>
      </c>
      <c r="AQ420" s="23">
        <v>416.66</v>
      </c>
    </row>
    <row r="421" spans="1:43" x14ac:dyDescent="0.2">
      <c r="A421" s="144" t="s">
        <v>318</v>
      </c>
      <c r="B421" s="9" t="s">
        <v>495</v>
      </c>
      <c r="C421" s="9" t="s">
        <v>495</v>
      </c>
      <c r="D421" s="9">
        <v>0</v>
      </c>
      <c r="E421" s="9"/>
      <c r="F421" s="9">
        <v>0</v>
      </c>
      <c r="G421" s="83">
        <v>5000</v>
      </c>
      <c r="H421" s="83">
        <f t="shared" si="85"/>
        <v>5000</v>
      </c>
      <c r="I421" s="133">
        <f t="shared" si="90"/>
        <v>1</v>
      </c>
      <c r="J421" s="82">
        <v>0</v>
      </c>
      <c r="K421" s="82">
        <v>1250</v>
      </c>
      <c r="L421" s="82"/>
      <c r="M421" s="82"/>
      <c r="N421" s="82">
        <v>1250</v>
      </c>
      <c r="O421" s="82"/>
      <c r="P421" s="82"/>
      <c r="Q421" s="82">
        <v>1250</v>
      </c>
      <c r="R421" s="82"/>
      <c r="S421" s="23"/>
      <c r="T421" s="23">
        <v>1250</v>
      </c>
      <c r="U421" s="23"/>
      <c r="V421" s="7" t="s">
        <v>799</v>
      </c>
      <c r="W421" s="82">
        <f t="shared" si="87"/>
        <v>0</v>
      </c>
      <c r="Y421" s="4"/>
      <c r="AA421" s="82">
        <v>0</v>
      </c>
      <c r="AB421" s="82"/>
      <c r="AC421" s="82"/>
      <c r="AE421" s="7" t="s">
        <v>475</v>
      </c>
      <c r="AH421" s="23">
        <f>SUM('2020 detail'!J421:U421)+'2020 detail'!AA421+'2020 detail'!AB421</f>
        <v>5000</v>
      </c>
      <c r="AJ421" s="23">
        <f t="shared" si="88"/>
        <v>0</v>
      </c>
      <c r="AL421" t="str">
        <f t="shared" si="89"/>
        <v>Same</v>
      </c>
    </row>
    <row r="422" spans="1:43" x14ac:dyDescent="0.2">
      <c r="A422" s="144" t="s">
        <v>319</v>
      </c>
      <c r="B422" s="9" t="s">
        <v>495</v>
      </c>
      <c r="C422" s="9" t="s">
        <v>495</v>
      </c>
      <c r="D422" s="9">
        <v>0</v>
      </c>
      <c r="E422" s="9"/>
      <c r="F422" s="9" t="s">
        <v>495</v>
      </c>
      <c r="G422" s="83">
        <v>14000</v>
      </c>
      <c r="H422" s="83">
        <f t="shared" si="85"/>
        <v>10500</v>
      </c>
      <c r="I422" s="133">
        <f t="shared" si="90"/>
        <v>0.75</v>
      </c>
      <c r="J422" s="82">
        <v>200</v>
      </c>
      <c r="K422" s="82">
        <v>200</v>
      </c>
      <c r="L422" s="82">
        <v>200</v>
      </c>
      <c r="M422" s="82">
        <v>200</v>
      </c>
      <c r="N422" s="82">
        <v>512</v>
      </c>
      <c r="O422" s="82">
        <v>200</v>
      </c>
      <c r="P422" s="82">
        <v>200</v>
      </c>
      <c r="Q422" s="82">
        <v>200</v>
      </c>
      <c r="R422" s="82">
        <v>5200</v>
      </c>
      <c r="S422" s="23">
        <v>200</v>
      </c>
      <c r="T422" s="23">
        <v>2988</v>
      </c>
      <c r="U422" s="23">
        <v>200</v>
      </c>
      <c r="V422" s="7" t="s">
        <v>800</v>
      </c>
      <c r="W422" s="82">
        <f t="shared" si="87"/>
        <v>3500</v>
      </c>
      <c r="Y422" s="4"/>
      <c r="AA422" s="82">
        <v>0</v>
      </c>
      <c r="AB422" s="82"/>
      <c r="AC422" s="82"/>
      <c r="AE422" s="7" t="s">
        <v>475</v>
      </c>
      <c r="AH422" s="23">
        <f>SUM('2020 detail'!J422:U422)+'2020 detail'!AA422+'2020 detail'!AB422</f>
        <v>10000</v>
      </c>
      <c r="AJ422" s="23">
        <f t="shared" si="88"/>
        <v>500</v>
      </c>
      <c r="AL422" t="str">
        <f t="shared" si="89"/>
        <v>Up</v>
      </c>
      <c r="AQ422" s="23">
        <v>200</v>
      </c>
    </row>
    <row r="423" spans="1:43" x14ac:dyDescent="0.2">
      <c r="A423" s="144" t="s">
        <v>320</v>
      </c>
      <c r="B423" s="9" t="s">
        <v>495</v>
      </c>
      <c r="C423" s="9" t="s">
        <v>495</v>
      </c>
      <c r="D423" s="9" t="s">
        <v>495</v>
      </c>
      <c r="E423" s="9"/>
      <c r="F423" s="9" t="s">
        <v>495</v>
      </c>
      <c r="G423" s="83">
        <v>5000</v>
      </c>
      <c r="H423" s="83">
        <f t="shared" si="85"/>
        <v>4999.9999999999991</v>
      </c>
      <c r="I423" s="133">
        <f t="shared" si="90"/>
        <v>1</v>
      </c>
      <c r="J423" s="82">
        <v>416.66</v>
      </c>
      <c r="K423" s="82">
        <v>416.74</v>
      </c>
      <c r="L423" s="82">
        <v>416.66</v>
      </c>
      <c r="M423" s="82">
        <v>416.66</v>
      </c>
      <c r="N423" s="82">
        <v>416.66</v>
      </c>
      <c r="O423" s="82">
        <v>416.66</v>
      </c>
      <c r="P423" s="82">
        <v>416.66</v>
      </c>
      <c r="Q423" s="82">
        <v>416.66</v>
      </c>
      <c r="R423" s="82">
        <v>416.66</v>
      </c>
      <c r="S423" s="23">
        <v>416.66</v>
      </c>
      <c r="T423" s="23">
        <v>416.66</v>
      </c>
      <c r="U423" s="23">
        <v>416.66</v>
      </c>
      <c r="V423" s="7" t="s">
        <v>801</v>
      </c>
      <c r="W423" s="82">
        <f t="shared" si="87"/>
        <v>0</v>
      </c>
      <c r="Y423" s="4"/>
      <c r="AA423" s="82">
        <v>0</v>
      </c>
      <c r="AB423" s="82"/>
      <c r="AC423" s="82"/>
      <c r="AE423" s="7" t="s">
        <v>475</v>
      </c>
      <c r="AH423" s="23">
        <f>SUM('2020 detail'!J423:U423)+'2020 detail'!AA423+'2020 detail'!AB423</f>
        <v>4999.9999999999991</v>
      </c>
      <c r="AJ423" s="23">
        <f t="shared" si="88"/>
        <v>0</v>
      </c>
      <c r="AL423" t="str">
        <f t="shared" si="89"/>
        <v>Same</v>
      </c>
      <c r="AQ423" s="23">
        <v>416.66</v>
      </c>
    </row>
    <row r="424" spans="1:43" x14ac:dyDescent="0.2">
      <c r="A424" s="144" t="s">
        <v>321</v>
      </c>
      <c r="B424" s="9" t="s">
        <v>495</v>
      </c>
      <c r="C424" s="9" t="s">
        <v>495</v>
      </c>
      <c r="D424" s="9" t="s">
        <v>495</v>
      </c>
      <c r="E424" s="9"/>
      <c r="F424" s="9" t="s">
        <v>495</v>
      </c>
      <c r="G424" s="83">
        <v>9539</v>
      </c>
      <c r="H424" s="83">
        <f t="shared" si="85"/>
        <v>9539</v>
      </c>
      <c r="I424" s="133">
        <f t="shared" si="90"/>
        <v>1</v>
      </c>
      <c r="J424" s="82">
        <v>794.91</v>
      </c>
      <c r="K424" s="82">
        <v>794.91</v>
      </c>
      <c r="L424" s="82">
        <v>794.99</v>
      </c>
      <c r="M424" s="82">
        <v>794.91</v>
      </c>
      <c r="N424" s="82">
        <v>794.91</v>
      </c>
      <c r="O424" s="82">
        <v>794.91</v>
      </c>
      <c r="P424" s="82">
        <v>794.91</v>
      </c>
      <c r="Q424" s="82">
        <v>794.91</v>
      </c>
      <c r="R424" s="82">
        <v>794.91</v>
      </c>
      <c r="S424" s="23">
        <v>794.91</v>
      </c>
      <c r="T424" s="23">
        <v>794.91</v>
      </c>
      <c r="U424" s="23">
        <v>794.91</v>
      </c>
      <c r="V424" s="7" t="s">
        <v>802</v>
      </c>
      <c r="W424" s="82">
        <f t="shared" si="87"/>
        <v>0</v>
      </c>
      <c r="Y424" s="4"/>
      <c r="AA424" s="82">
        <v>0</v>
      </c>
      <c r="AB424" s="82"/>
      <c r="AC424" s="82"/>
      <c r="AE424" s="7" t="s">
        <v>472</v>
      </c>
      <c r="AH424" s="23">
        <f>SUM('2020 detail'!J424:U424)+'2020 detail'!AA424+'2020 detail'!AB424</f>
        <v>9539</v>
      </c>
      <c r="AJ424" s="23">
        <f t="shared" si="88"/>
        <v>0</v>
      </c>
      <c r="AL424" t="str">
        <f t="shared" si="89"/>
        <v>Same</v>
      </c>
      <c r="AQ424" s="23">
        <v>794.91</v>
      </c>
    </row>
    <row r="425" spans="1:43" x14ac:dyDescent="0.2">
      <c r="A425" s="144" t="s">
        <v>322</v>
      </c>
      <c r="B425" s="9" t="s">
        <v>495</v>
      </c>
      <c r="C425" s="9" t="s">
        <v>495</v>
      </c>
      <c r="D425" s="9" t="s">
        <v>495</v>
      </c>
      <c r="E425" s="9"/>
      <c r="F425" s="9">
        <v>0</v>
      </c>
      <c r="G425" s="83">
        <v>8049</v>
      </c>
      <c r="H425" s="83">
        <f t="shared" si="85"/>
        <v>8049</v>
      </c>
      <c r="I425" s="133">
        <f t="shared" si="90"/>
        <v>1</v>
      </c>
      <c r="J425" s="82">
        <v>300</v>
      </c>
      <c r="K425" s="82"/>
      <c r="L425" s="82"/>
      <c r="M425" s="82">
        <v>1100</v>
      </c>
      <c r="N425" s="82">
        <v>1688</v>
      </c>
      <c r="O425" s="82"/>
      <c r="P425" s="82">
        <v>1200</v>
      </c>
      <c r="Q425" s="82"/>
      <c r="R425" s="82"/>
      <c r="S425" s="23"/>
      <c r="T425" s="23"/>
      <c r="U425" s="23">
        <v>2400</v>
      </c>
      <c r="V425" s="7" t="s">
        <v>803</v>
      </c>
      <c r="W425" s="82">
        <f t="shared" si="87"/>
        <v>0</v>
      </c>
      <c r="Y425" s="4"/>
      <c r="AA425" s="82">
        <v>0</v>
      </c>
      <c r="AB425" s="82">
        <v>1361</v>
      </c>
      <c r="AC425" s="82"/>
      <c r="AE425" s="7" t="s">
        <v>472</v>
      </c>
      <c r="AH425" s="23">
        <f>SUM('2020 detail'!J425:U425)+'2020 detail'!AA425+'2020 detail'!AB425</f>
        <v>4489</v>
      </c>
      <c r="AJ425" s="23">
        <f t="shared" si="88"/>
        <v>3560</v>
      </c>
      <c r="AL425" t="str">
        <f t="shared" si="89"/>
        <v>Up</v>
      </c>
      <c r="AQ425" s="23">
        <v>2400</v>
      </c>
    </row>
    <row r="426" spans="1:43" x14ac:dyDescent="0.2">
      <c r="A426" s="144" t="s">
        <v>323</v>
      </c>
      <c r="B426" s="9" t="s">
        <v>495</v>
      </c>
      <c r="C426" s="9" t="s">
        <v>495</v>
      </c>
      <c r="D426" s="9" t="s">
        <v>495</v>
      </c>
      <c r="E426" s="9"/>
      <c r="F426" s="9" t="s">
        <v>495</v>
      </c>
      <c r="G426" s="83">
        <v>11391</v>
      </c>
      <c r="H426" s="83">
        <f t="shared" si="85"/>
        <v>11391</v>
      </c>
      <c r="I426" s="133">
        <f t="shared" si="90"/>
        <v>1</v>
      </c>
      <c r="J426" s="82">
        <v>949.25</v>
      </c>
      <c r="K426" s="82">
        <v>949.25</v>
      </c>
      <c r="L426" s="82">
        <v>949.25</v>
      </c>
      <c r="M426" s="82">
        <v>949.25</v>
      </c>
      <c r="N426" s="82">
        <v>949.25</v>
      </c>
      <c r="O426" s="82">
        <v>949.25</v>
      </c>
      <c r="P426" s="82">
        <v>949.25</v>
      </c>
      <c r="Q426" s="82">
        <v>949.25</v>
      </c>
      <c r="R426" s="82">
        <v>949.25</v>
      </c>
      <c r="S426" s="23">
        <v>949.25</v>
      </c>
      <c r="T426" s="23">
        <v>949.25</v>
      </c>
      <c r="U426" s="23">
        <v>949.25</v>
      </c>
      <c r="V426" s="7" t="s">
        <v>804</v>
      </c>
      <c r="W426" s="82">
        <f t="shared" si="87"/>
        <v>0</v>
      </c>
      <c r="Y426" s="4"/>
      <c r="AA426" s="82">
        <v>0</v>
      </c>
      <c r="AB426" s="82"/>
      <c r="AC426" s="82"/>
      <c r="AE426" s="7" t="s">
        <v>472</v>
      </c>
      <c r="AH426" s="23">
        <f>SUM('2020 detail'!J426:U426)+'2020 detail'!AA426+'2020 detail'!AB426</f>
        <v>11391</v>
      </c>
      <c r="AJ426" s="23">
        <f t="shared" si="88"/>
        <v>0</v>
      </c>
      <c r="AL426" t="str">
        <f t="shared" si="89"/>
        <v>Same</v>
      </c>
      <c r="AQ426" s="23">
        <v>949.25</v>
      </c>
    </row>
    <row r="427" spans="1:43" x14ac:dyDescent="0.2">
      <c r="A427" s="144" t="s">
        <v>324</v>
      </c>
      <c r="B427" s="9" t="s">
        <v>495</v>
      </c>
      <c r="C427" s="9" t="s">
        <v>495</v>
      </c>
      <c r="D427" s="9" t="s">
        <v>495</v>
      </c>
      <c r="E427" s="9"/>
      <c r="F427" s="9" t="s">
        <v>495</v>
      </c>
      <c r="G427" s="83">
        <v>2130</v>
      </c>
      <c r="H427" s="83">
        <f t="shared" si="85"/>
        <v>2130</v>
      </c>
      <c r="I427" s="133">
        <f t="shared" si="90"/>
        <v>1</v>
      </c>
      <c r="J427" s="82">
        <v>177.5</v>
      </c>
      <c r="K427" s="82">
        <v>177.5</v>
      </c>
      <c r="L427" s="82">
        <v>177.5</v>
      </c>
      <c r="M427" s="82">
        <v>177.5</v>
      </c>
      <c r="N427" s="82">
        <v>177.5</v>
      </c>
      <c r="O427" s="82">
        <v>177.5</v>
      </c>
      <c r="P427" s="82">
        <v>177.5</v>
      </c>
      <c r="Q427" s="82">
        <v>177.5</v>
      </c>
      <c r="R427" s="82">
        <v>177.5</v>
      </c>
      <c r="S427" s="23">
        <v>177.5</v>
      </c>
      <c r="T427" s="23">
        <v>177.5</v>
      </c>
      <c r="U427" s="23">
        <v>177.5</v>
      </c>
      <c r="V427" s="7" t="s">
        <v>805</v>
      </c>
      <c r="W427" s="82">
        <f t="shared" si="87"/>
        <v>0</v>
      </c>
      <c r="Y427" s="4"/>
      <c r="AA427" s="82">
        <v>0</v>
      </c>
      <c r="AB427" s="82"/>
      <c r="AC427" s="82"/>
      <c r="AE427" s="7" t="s">
        <v>472</v>
      </c>
      <c r="AH427" s="23">
        <f>SUM('2020 detail'!J427:U427)+'2020 detail'!AA427+'2020 detail'!AB427</f>
        <v>2130</v>
      </c>
      <c r="AJ427" s="23">
        <f t="shared" si="88"/>
        <v>0</v>
      </c>
      <c r="AL427" t="str">
        <f t="shared" si="89"/>
        <v>Same</v>
      </c>
      <c r="AQ427" s="23">
        <v>177.5</v>
      </c>
    </row>
    <row r="428" spans="1:43" x14ac:dyDescent="0.2">
      <c r="A428" s="144" t="s">
        <v>325</v>
      </c>
      <c r="B428" s="9" t="s">
        <v>495</v>
      </c>
      <c r="C428" s="9" t="s">
        <v>495</v>
      </c>
      <c r="D428" s="9" t="s">
        <v>495</v>
      </c>
      <c r="E428" s="9"/>
      <c r="F428" s="9" t="s">
        <v>495</v>
      </c>
      <c r="G428" s="83">
        <v>5000</v>
      </c>
      <c r="H428" s="83">
        <f t="shared" si="85"/>
        <v>6499.9999999999991</v>
      </c>
      <c r="I428" s="133">
        <f t="shared" si="90"/>
        <v>1.3</v>
      </c>
      <c r="J428" s="82">
        <v>416.66</v>
      </c>
      <c r="K428" s="82">
        <v>416.74</v>
      </c>
      <c r="L428" s="82">
        <v>416.66</v>
      </c>
      <c r="M428" s="82">
        <v>416.66</v>
      </c>
      <c r="N428" s="82">
        <v>416.66</v>
      </c>
      <c r="O428" s="82">
        <v>630.91999999999996</v>
      </c>
      <c r="P428" s="82">
        <v>630.95000000000005</v>
      </c>
      <c r="Q428" s="82">
        <v>630.95000000000005</v>
      </c>
      <c r="R428" s="82">
        <v>630.95000000000005</v>
      </c>
      <c r="S428" s="23">
        <v>630.95000000000005</v>
      </c>
      <c r="T428" s="23">
        <v>630.95000000000005</v>
      </c>
      <c r="U428" s="23">
        <v>630.95000000000005</v>
      </c>
      <c r="V428" s="7" t="s">
        <v>806</v>
      </c>
      <c r="W428" s="82">
        <f t="shared" si="87"/>
        <v>-1500</v>
      </c>
      <c r="Y428" s="4"/>
      <c r="AA428" s="82">
        <v>0</v>
      </c>
      <c r="AB428" s="82"/>
      <c r="AC428" s="82"/>
      <c r="AE428" s="7" t="s">
        <v>475</v>
      </c>
      <c r="AH428" s="23">
        <f>SUM('2020 detail'!J428:U428)+'2020 detail'!AA428+'2020 detail'!AB428</f>
        <v>4999.9999999999991</v>
      </c>
      <c r="AJ428" s="23">
        <f t="shared" si="88"/>
        <v>1500</v>
      </c>
      <c r="AL428" t="str">
        <f t="shared" si="89"/>
        <v>Up</v>
      </c>
      <c r="AQ428" s="23">
        <v>630.95000000000005</v>
      </c>
    </row>
    <row r="429" spans="1:43" x14ac:dyDescent="0.2">
      <c r="A429" s="144" t="s">
        <v>326</v>
      </c>
      <c r="B429" s="9" t="s">
        <v>495</v>
      </c>
      <c r="C429" s="9" t="s">
        <v>495</v>
      </c>
      <c r="D429" s="9" t="s">
        <v>495</v>
      </c>
      <c r="E429" s="9"/>
      <c r="F429" s="9" t="s">
        <v>495</v>
      </c>
      <c r="G429" s="83">
        <v>35000</v>
      </c>
      <c r="H429" s="83">
        <f t="shared" si="85"/>
        <v>37000</v>
      </c>
      <c r="I429" s="133">
        <f t="shared" si="90"/>
        <v>1.0570999999999999</v>
      </c>
      <c r="J429" s="82">
        <v>2916.66</v>
      </c>
      <c r="K429" s="82">
        <v>2916.74</v>
      </c>
      <c r="L429" s="82">
        <v>2916.66</v>
      </c>
      <c r="M429" s="82">
        <v>2916.66</v>
      </c>
      <c r="N429" s="82">
        <v>2916.66</v>
      </c>
      <c r="O429" s="82">
        <v>2916.66</v>
      </c>
      <c r="P429" s="82">
        <v>2916.66</v>
      </c>
      <c r="Q429" s="82">
        <v>3316.66</v>
      </c>
      <c r="R429" s="82">
        <v>3316.66</v>
      </c>
      <c r="S429" s="23">
        <v>3316.66</v>
      </c>
      <c r="T429" s="23">
        <v>3316.66</v>
      </c>
      <c r="U429" s="23">
        <v>3316.66</v>
      </c>
      <c r="V429" s="7" t="s">
        <v>807</v>
      </c>
      <c r="W429" s="82">
        <f t="shared" si="87"/>
        <v>-2000</v>
      </c>
      <c r="Y429" s="4"/>
      <c r="AA429" s="82">
        <v>0</v>
      </c>
      <c r="AB429" s="82"/>
      <c r="AC429" s="82"/>
      <c r="AE429" s="7" t="s">
        <v>475</v>
      </c>
      <c r="AH429" s="23">
        <f>SUM('2020 detail'!J429:U429)+'2020 detail'!AA429+'2020 detail'!AB429</f>
        <v>35000</v>
      </c>
      <c r="AJ429" s="23">
        <f t="shared" si="88"/>
        <v>2000</v>
      </c>
      <c r="AL429" t="str">
        <f t="shared" si="89"/>
        <v>Up</v>
      </c>
      <c r="AQ429" s="23">
        <v>3316.66</v>
      </c>
    </row>
    <row r="430" spans="1:43" x14ac:dyDescent="0.2">
      <c r="A430" s="144" t="s">
        <v>327</v>
      </c>
      <c r="B430" s="9" t="s">
        <v>495</v>
      </c>
      <c r="C430" s="9">
        <v>0</v>
      </c>
      <c r="D430" s="9">
        <v>0</v>
      </c>
      <c r="E430" s="9"/>
      <c r="F430" s="9" t="s">
        <v>495</v>
      </c>
      <c r="G430" s="83">
        <v>10000</v>
      </c>
      <c r="H430" s="83">
        <f t="shared" si="85"/>
        <v>10550</v>
      </c>
      <c r="I430" s="133">
        <f t="shared" si="90"/>
        <v>1.0549999999999999</v>
      </c>
      <c r="J430" s="82">
        <v>833.33</v>
      </c>
      <c r="K430" s="82"/>
      <c r="L430" s="82">
        <v>833.33</v>
      </c>
      <c r="M430" s="82">
        <v>1666.66</v>
      </c>
      <c r="N430" s="82">
        <v>833.33</v>
      </c>
      <c r="O430" s="82">
        <v>833.33</v>
      </c>
      <c r="P430" s="82">
        <v>833.33</v>
      </c>
      <c r="Q430" s="82">
        <v>833.33</v>
      </c>
      <c r="R430" s="82">
        <v>833.33</v>
      </c>
      <c r="S430" s="23">
        <v>1383.33</v>
      </c>
      <c r="T430" s="23">
        <v>833.33</v>
      </c>
      <c r="U430" s="23">
        <v>833.37</v>
      </c>
      <c r="V430" s="7" t="s">
        <v>808</v>
      </c>
      <c r="W430" s="82">
        <f t="shared" si="87"/>
        <v>-550</v>
      </c>
      <c r="Y430" s="4"/>
      <c r="AA430" s="82">
        <v>0</v>
      </c>
      <c r="AB430" s="82"/>
      <c r="AC430" s="82"/>
      <c r="AE430" s="7" t="s">
        <v>475</v>
      </c>
      <c r="AH430" s="23">
        <f>SUM('2020 detail'!J430:U430)+'2020 detail'!AA430+'2020 detail'!AB430</f>
        <v>10000</v>
      </c>
      <c r="AJ430" s="23">
        <f t="shared" si="88"/>
        <v>550</v>
      </c>
      <c r="AL430" t="str">
        <f t="shared" si="89"/>
        <v>Up</v>
      </c>
      <c r="AQ430" s="23">
        <v>833.37</v>
      </c>
    </row>
    <row r="431" spans="1:43" x14ac:dyDescent="0.2">
      <c r="A431" s="144" t="s">
        <v>328</v>
      </c>
      <c r="B431" s="9" t="s">
        <v>495</v>
      </c>
      <c r="C431" s="9" t="s">
        <v>495</v>
      </c>
      <c r="D431" s="9">
        <v>0</v>
      </c>
      <c r="E431" s="9"/>
      <c r="F431" s="9" t="s">
        <v>495</v>
      </c>
      <c r="G431" s="83">
        <v>69033</v>
      </c>
      <c r="H431" s="83">
        <f t="shared" si="85"/>
        <v>69033</v>
      </c>
      <c r="I431" s="133">
        <f t="shared" si="90"/>
        <v>1</v>
      </c>
      <c r="J431" s="82">
        <v>5752.75</v>
      </c>
      <c r="K431" s="82">
        <v>5752.75</v>
      </c>
      <c r="L431" s="82">
        <v>5752.75</v>
      </c>
      <c r="M431" s="82">
        <v>5752.75</v>
      </c>
      <c r="N431" s="82">
        <v>5752.75</v>
      </c>
      <c r="O431" s="82">
        <v>5752.75</v>
      </c>
      <c r="P431" s="82">
        <v>5752.75</v>
      </c>
      <c r="Q431" s="82">
        <v>5752.75</v>
      </c>
      <c r="R431" s="82">
        <v>5752.75</v>
      </c>
      <c r="S431" s="23">
        <v>5752.75</v>
      </c>
      <c r="T431" s="23">
        <v>5752.75</v>
      </c>
      <c r="U431" s="23">
        <v>5752.75</v>
      </c>
      <c r="V431" s="7" t="s">
        <v>809</v>
      </c>
      <c r="W431" s="82">
        <f t="shared" si="87"/>
        <v>0</v>
      </c>
      <c r="Y431" s="4"/>
      <c r="AA431" s="82">
        <v>0</v>
      </c>
      <c r="AB431" s="82"/>
      <c r="AC431" s="82"/>
      <c r="AE431" s="7" t="s">
        <v>476</v>
      </c>
      <c r="AH431" s="23">
        <f>SUM('2020 detail'!J431:U431)+'2020 detail'!AA431+'2020 detail'!AB431</f>
        <v>69033</v>
      </c>
      <c r="AJ431" s="23">
        <f t="shared" si="88"/>
        <v>0</v>
      </c>
      <c r="AL431" t="str">
        <f t="shared" si="89"/>
        <v>Same</v>
      </c>
      <c r="AQ431" s="23">
        <v>5752.75</v>
      </c>
    </row>
    <row r="432" spans="1:43" x14ac:dyDescent="0.2">
      <c r="A432" s="144" t="s">
        <v>329</v>
      </c>
      <c r="B432" s="9" t="s">
        <v>495</v>
      </c>
      <c r="C432" s="9" t="s">
        <v>495</v>
      </c>
      <c r="D432" s="9" t="s">
        <v>495</v>
      </c>
      <c r="E432" s="9"/>
      <c r="F432" s="9">
        <v>0</v>
      </c>
      <c r="G432" s="83">
        <v>7670</v>
      </c>
      <c r="H432" s="83">
        <f t="shared" si="85"/>
        <v>4500</v>
      </c>
      <c r="I432" s="133">
        <f t="shared" si="90"/>
        <v>0.5867</v>
      </c>
      <c r="J432" s="82">
        <v>0</v>
      </c>
      <c r="K432" s="82"/>
      <c r="L432" s="82"/>
      <c r="M432" s="82">
        <v>1000</v>
      </c>
      <c r="N432" s="82"/>
      <c r="O432" s="82">
        <v>1000</v>
      </c>
      <c r="P432" s="82"/>
      <c r="Q432" s="82"/>
      <c r="R432" s="82">
        <v>1000</v>
      </c>
      <c r="S432" s="23"/>
      <c r="T432" s="23"/>
      <c r="U432" s="23">
        <v>1500</v>
      </c>
      <c r="V432" s="7" t="s">
        <v>810</v>
      </c>
      <c r="W432" s="82">
        <f t="shared" si="87"/>
        <v>3170</v>
      </c>
      <c r="Y432" s="4"/>
      <c r="AA432" s="82">
        <v>0</v>
      </c>
      <c r="AB432" s="82"/>
      <c r="AC432" s="82"/>
      <c r="AE432" s="7" t="s">
        <v>476</v>
      </c>
      <c r="AH432" s="23">
        <f>SUM('2020 detail'!J432:U432)+'2020 detail'!AA432+'2020 detail'!AB432</f>
        <v>3120</v>
      </c>
      <c r="AJ432" s="23">
        <f t="shared" si="88"/>
        <v>1380</v>
      </c>
      <c r="AL432" t="str">
        <f t="shared" si="89"/>
        <v>Up</v>
      </c>
      <c r="AQ432" s="23">
        <v>1500</v>
      </c>
    </row>
    <row r="433" spans="1:44" x14ac:dyDescent="0.2">
      <c r="A433" s="144" t="s">
        <v>330</v>
      </c>
      <c r="B433" s="9" t="s">
        <v>495</v>
      </c>
      <c r="C433" s="9" t="s">
        <v>495</v>
      </c>
      <c r="D433" s="9" t="s">
        <v>495</v>
      </c>
      <c r="E433" s="9"/>
      <c r="F433" s="9" t="s">
        <v>495</v>
      </c>
      <c r="G433" s="83">
        <v>9103</v>
      </c>
      <c r="H433" s="83">
        <f t="shared" si="85"/>
        <v>9103</v>
      </c>
      <c r="I433" s="133">
        <f t="shared" si="90"/>
        <v>1</v>
      </c>
      <c r="J433" s="82">
        <v>0</v>
      </c>
      <c r="K433" s="82"/>
      <c r="L433" s="82"/>
      <c r="M433" s="82"/>
      <c r="N433" s="82">
        <v>2275.7399999999998</v>
      </c>
      <c r="O433" s="82"/>
      <c r="P433" s="82"/>
      <c r="Q433" s="82"/>
      <c r="R433" s="82"/>
      <c r="S433" s="23"/>
      <c r="T433" s="23">
        <v>2275.7399999999998</v>
      </c>
      <c r="U433" s="23">
        <v>2275.7399999999998</v>
      </c>
      <c r="V433" s="7" t="s">
        <v>811</v>
      </c>
      <c r="W433" s="82">
        <f t="shared" si="87"/>
        <v>0</v>
      </c>
      <c r="Y433" s="4"/>
      <c r="AA433" s="82">
        <v>0</v>
      </c>
      <c r="AB433" s="82">
        <v>2275.7800000000002</v>
      </c>
      <c r="AC433" s="82"/>
      <c r="AE433" s="7" t="s">
        <v>474</v>
      </c>
      <c r="AH433" s="23">
        <f>SUM('2020 detail'!J433:U433)+'2020 detail'!AA433+'2020 detail'!AB433</f>
        <v>9814</v>
      </c>
      <c r="AJ433" s="23">
        <f t="shared" si="88"/>
        <v>-711</v>
      </c>
      <c r="AL433" t="str">
        <f t="shared" si="89"/>
        <v>Down</v>
      </c>
      <c r="AQ433" s="23">
        <v>2275.7399999999998</v>
      </c>
    </row>
    <row r="434" spans="1:44" x14ac:dyDescent="0.2">
      <c r="A434" s="144" t="s">
        <v>331</v>
      </c>
      <c r="B434" s="9" t="s">
        <v>495</v>
      </c>
      <c r="C434" s="9" t="s">
        <v>495</v>
      </c>
      <c r="D434" s="9">
        <v>0</v>
      </c>
      <c r="E434" s="9"/>
      <c r="F434" s="9" t="s">
        <v>495</v>
      </c>
      <c r="G434" s="83">
        <v>11276</v>
      </c>
      <c r="H434" s="83">
        <f t="shared" si="85"/>
        <v>11276</v>
      </c>
      <c r="I434" s="133">
        <f t="shared" si="90"/>
        <v>1</v>
      </c>
      <c r="J434" s="82">
        <v>939.74</v>
      </c>
      <c r="K434" s="82">
        <v>939.66</v>
      </c>
      <c r="L434" s="82">
        <v>939.66</v>
      </c>
      <c r="M434" s="82">
        <v>939.66</v>
      </c>
      <c r="N434" s="82">
        <v>939.66</v>
      </c>
      <c r="O434" s="82">
        <v>939.66</v>
      </c>
      <c r="P434" s="82">
        <v>939.66</v>
      </c>
      <c r="Q434" s="82">
        <v>939.66</v>
      </c>
      <c r="R434" s="82">
        <v>939.66</v>
      </c>
      <c r="S434" s="23">
        <v>939.66</v>
      </c>
      <c r="T434" s="23">
        <v>939.66</v>
      </c>
      <c r="U434" s="23">
        <v>939.66</v>
      </c>
      <c r="V434" s="7" t="s">
        <v>812</v>
      </c>
      <c r="W434" s="82">
        <f t="shared" si="87"/>
        <v>0</v>
      </c>
      <c r="Y434" s="4"/>
      <c r="AA434" s="82">
        <v>0</v>
      </c>
      <c r="AB434" s="82"/>
      <c r="AC434" s="82"/>
      <c r="AE434" s="7" t="s">
        <v>477</v>
      </c>
      <c r="AH434" s="23">
        <f>SUM('2020 detail'!J434:U434)+'2020 detail'!AA434+'2020 detail'!AB434</f>
        <v>11694</v>
      </c>
      <c r="AJ434" s="23">
        <f t="shared" si="88"/>
        <v>-418</v>
      </c>
      <c r="AL434" t="str">
        <f t="shared" si="89"/>
        <v>Down</v>
      </c>
      <c r="AQ434" s="23">
        <v>939.66</v>
      </c>
    </row>
    <row r="435" spans="1:44" x14ac:dyDescent="0.2">
      <c r="A435" s="144" t="s">
        <v>332</v>
      </c>
      <c r="B435" s="9" t="s">
        <v>495</v>
      </c>
      <c r="C435" s="9" t="s">
        <v>495</v>
      </c>
      <c r="D435" s="9" t="s">
        <v>495</v>
      </c>
      <c r="E435" s="9"/>
      <c r="F435" s="9" t="s">
        <v>495</v>
      </c>
      <c r="G435" s="83">
        <v>9009</v>
      </c>
      <c r="H435" s="83">
        <f t="shared" si="85"/>
        <v>9009</v>
      </c>
      <c r="I435" s="133">
        <f t="shared" si="90"/>
        <v>1</v>
      </c>
      <c r="J435" s="82">
        <v>750.75</v>
      </c>
      <c r="K435" s="82">
        <v>750.75</v>
      </c>
      <c r="L435" s="82">
        <v>750.75</v>
      </c>
      <c r="M435" s="82">
        <v>750.75</v>
      </c>
      <c r="N435" s="82">
        <v>750.75</v>
      </c>
      <c r="O435" s="82">
        <v>750.75</v>
      </c>
      <c r="P435" s="82">
        <v>750.75</v>
      </c>
      <c r="Q435" s="82">
        <v>750.75</v>
      </c>
      <c r="R435" s="82">
        <v>750.75</v>
      </c>
      <c r="S435" s="23">
        <v>750.75</v>
      </c>
      <c r="T435" s="23">
        <v>750.75</v>
      </c>
      <c r="U435" s="23">
        <v>750.75</v>
      </c>
      <c r="V435" s="7" t="s">
        <v>813</v>
      </c>
      <c r="W435" s="82">
        <f t="shared" si="87"/>
        <v>0</v>
      </c>
      <c r="Y435" s="4"/>
      <c r="AA435" s="82">
        <v>0</v>
      </c>
      <c r="AB435" s="82"/>
      <c r="AC435" s="82"/>
      <c r="AE435" s="7" t="s">
        <v>477</v>
      </c>
      <c r="AH435" s="23">
        <f>SUM('2020 detail'!J435:U435)+'2020 detail'!AA435+'2020 detail'!AB435</f>
        <v>9014</v>
      </c>
      <c r="AJ435" s="23">
        <f t="shared" si="88"/>
        <v>-5</v>
      </c>
      <c r="AL435" t="str">
        <f t="shared" si="89"/>
        <v>Down</v>
      </c>
      <c r="AQ435" s="23">
        <v>750.75</v>
      </c>
    </row>
    <row r="436" spans="1:44" s="6" customFormat="1" x14ac:dyDescent="0.2">
      <c r="A436" s="144" t="s">
        <v>333</v>
      </c>
      <c r="B436" s="9" t="s">
        <v>495</v>
      </c>
      <c r="C436" s="9">
        <v>0</v>
      </c>
      <c r="D436" s="9">
        <v>0</v>
      </c>
      <c r="E436" s="9"/>
      <c r="F436" s="9" t="s">
        <v>495</v>
      </c>
      <c r="G436" s="83">
        <v>2455</v>
      </c>
      <c r="H436" s="83">
        <f t="shared" si="85"/>
        <v>2455</v>
      </c>
      <c r="I436" s="133">
        <f t="shared" si="90"/>
        <v>1</v>
      </c>
      <c r="J436" s="82">
        <v>204.62</v>
      </c>
      <c r="K436" s="82">
        <v>204.58</v>
      </c>
      <c r="L436" s="82">
        <v>204.58</v>
      </c>
      <c r="M436" s="82">
        <v>204.58</v>
      </c>
      <c r="N436" s="82">
        <v>204.58</v>
      </c>
      <c r="O436" s="82">
        <v>204.58</v>
      </c>
      <c r="P436" s="82">
        <v>204.58</v>
      </c>
      <c r="Q436" s="82">
        <v>204.58</v>
      </c>
      <c r="R436" s="82">
        <v>204.58</v>
      </c>
      <c r="S436" s="23">
        <v>204.58</v>
      </c>
      <c r="T436" s="23">
        <v>204.58</v>
      </c>
      <c r="U436" s="23">
        <v>204.58</v>
      </c>
      <c r="V436" s="7" t="s">
        <v>814</v>
      </c>
      <c r="W436" s="82">
        <f t="shared" si="87"/>
        <v>0</v>
      </c>
      <c r="X436" s="7"/>
      <c r="Y436" s="4"/>
      <c r="Z436" s="7"/>
      <c r="AA436" s="82">
        <v>0</v>
      </c>
      <c r="AB436" s="82"/>
      <c r="AC436" s="82"/>
      <c r="AE436" s="10" t="s">
        <v>477</v>
      </c>
      <c r="AH436" s="23">
        <f>SUM('2020 detail'!J436:U436)+'2020 detail'!AA436+'2020 detail'!AB436</f>
        <v>2397</v>
      </c>
      <c r="AJ436" s="23">
        <f t="shared" si="88"/>
        <v>58</v>
      </c>
      <c r="AL436" t="str">
        <f t="shared" si="89"/>
        <v>Up</v>
      </c>
      <c r="AQ436" s="23">
        <v>204.58</v>
      </c>
    </row>
    <row r="437" spans="1:44" s="6" customFormat="1" x14ac:dyDescent="0.2">
      <c r="A437" s="144" t="s">
        <v>334</v>
      </c>
      <c r="B437" s="9" t="s">
        <v>495</v>
      </c>
      <c r="C437" s="9" t="s">
        <v>495</v>
      </c>
      <c r="D437" s="9">
        <v>0</v>
      </c>
      <c r="E437" s="9"/>
      <c r="F437" s="9">
        <v>0</v>
      </c>
      <c r="G437" s="83">
        <v>2320</v>
      </c>
      <c r="H437" s="83">
        <f t="shared" si="85"/>
        <v>2320.41</v>
      </c>
      <c r="I437" s="133">
        <f t="shared" si="90"/>
        <v>1.0002</v>
      </c>
      <c r="J437" s="82">
        <v>0</v>
      </c>
      <c r="K437" s="82">
        <v>390.41</v>
      </c>
      <c r="L437" s="82">
        <v>193</v>
      </c>
      <c r="M437" s="82"/>
      <c r="N437" s="82">
        <v>193</v>
      </c>
      <c r="O437" s="82"/>
      <c r="P437" s="82">
        <v>386</v>
      </c>
      <c r="Q437" s="82">
        <v>386</v>
      </c>
      <c r="R437" s="82"/>
      <c r="S437" s="23"/>
      <c r="T437" s="23">
        <v>579</v>
      </c>
      <c r="U437" s="23">
        <v>193</v>
      </c>
      <c r="V437" s="7" t="s">
        <v>815</v>
      </c>
      <c r="W437" s="82">
        <f t="shared" si="87"/>
        <v>-0.41</v>
      </c>
      <c r="X437" s="7"/>
      <c r="Y437" s="4"/>
      <c r="Z437" s="7"/>
      <c r="AA437" s="82">
        <v>0</v>
      </c>
      <c r="AB437" s="82"/>
      <c r="AC437" s="82"/>
      <c r="AE437" s="10" t="s">
        <v>477</v>
      </c>
      <c r="AH437" s="23">
        <f>SUM('2020 detail'!J437:U437)+'2020 detail'!AA437+'2020 detail'!AB437</f>
        <v>2358.9300000000003</v>
      </c>
      <c r="AJ437" s="23">
        <f t="shared" si="88"/>
        <v>-38.520000000000437</v>
      </c>
      <c r="AL437" t="str">
        <f t="shared" si="89"/>
        <v>Down</v>
      </c>
      <c r="AQ437" s="23">
        <v>193</v>
      </c>
    </row>
    <row r="438" spans="1:44" s="6" customFormat="1" x14ac:dyDescent="0.2">
      <c r="A438" s="144" t="s">
        <v>375</v>
      </c>
      <c r="B438" s="9" t="s">
        <v>495</v>
      </c>
      <c r="C438" s="9" t="s">
        <v>495</v>
      </c>
      <c r="D438" s="9" t="s">
        <v>495</v>
      </c>
      <c r="E438" s="9"/>
      <c r="F438" s="9" t="s">
        <v>495</v>
      </c>
      <c r="G438" s="83">
        <v>18865</v>
      </c>
      <c r="H438" s="83">
        <f t="shared" si="85"/>
        <v>18865</v>
      </c>
      <c r="I438" s="133">
        <f t="shared" si="90"/>
        <v>1</v>
      </c>
      <c r="J438" s="82">
        <v>1572.12</v>
      </c>
      <c r="K438" s="82">
        <v>1572.08</v>
      </c>
      <c r="L438" s="82">
        <v>1572.08</v>
      </c>
      <c r="M438" s="82">
        <v>1572.08</v>
      </c>
      <c r="N438" s="82">
        <v>1572.08</v>
      </c>
      <c r="O438" s="82">
        <v>1572.08</v>
      </c>
      <c r="P438" s="82">
        <v>1572.08</v>
      </c>
      <c r="Q438" s="82">
        <v>1572.08</v>
      </c>
      <c r="R438" s="82">
        <v>1572.08</v>
      </c>
      <c r="S438" s="23">
        <v>1572.08</v>
      </c>
      <c r="T438" s="23">
        <v>1572.08</v>
      </c>
      <c r="U438" s="23">
        <v>1572.08</v>
      </c>
      <c r="V438" s="7" t="s">
        <v>816</v>
      </c>
      <c r="W438" s="82">
        <f t="shared" si="87"/>
        <v>0</v>
      </c>
      <c r="X438" s="7"/>
      <c r="Y438" s="4"/>
      <c r="Z438" s="7"/>
      <c r="AA438" s="82">
        <v>0</v>
      </c>
      <c r="AB438" s="82"/>
      <c r="AC438" s="82"/>
      <c r="AE438" s="10" t="s">
        <v>478</v>
      </c>
      <c r="AH438" s="23">
        <f>SUM('2020 detail'!J438:U438)+'2020 detail'!AA438+'2020 detail'!AB438</f>
        <v>22106.999999999996</v>
      </c>
      <c r="AJ438" s="23">
        <f t="shared" si="88"/>
        <v>-3241.9999999999964</v>
      </c>
      <c r="AL438" t="str">
        <f t="shared" si="89"/>
        <v>Down</v>
      </c>
      <c r="AQ438" s="23">
        <v>1572.08</v>
      </c>
    </row>
    <row r="439" spans="1:44" s="6" customFormat="1" x14ac:dyDescent="0.2">
      <c r="A439" s="144" t="s">
        <v>335</v>
      </c>
      <c r="B439" s="9" t="s">
        <v>495</v>
      </c>
      <c r="C439" s="9" t="s">
        <v>495</v>
      </c>
      <c r="D439" s="9" t="s">
        <v>495</v>
      </c>
      <c r="E439" s="9"/>
      <c r="F439" s="9">
        <v>0</v>
      </c>
      <c r="G439" s="83">
        <v>7074</v>
      </c>
      <c r="H439" s="83">
        <f t="shared" si="85"/>
        <v>3000</v>
      </c>
      <c r="I439" s="133">
        <f t="shared" si="90"/>
        <v>0.42409999999999998</v>
      </c>
      <c r="J439" s="82">
        <v>0</v>
      </c>
      <c r="K439" s="82"/>
      <c r="L439" s="82">
        <v>1000</v>
      </c>
      <c r="M439" s="82"/>
      <c r="N439" s="82">
        <v>1000</v>
      </c>
      <c r="O439" s="82"/>
      <c r="P439" s="82"/>
      <c r="Q439" s="82"/>
      <c r="R439" s="82"/>
      <c r="S439" s="23"/>
      <c r="T439" s="23"/>
      <c r="U439" s="23">
        <v>1000</v>
      </c>
      <c r="V439" s="7" t="s">
        <v>817</v>
      </c>
      <c r="W439" s="82">
        <f t="shared" si="87"/>
        <v>4074</v>
      </c>
      <c r="X439" s="7"/>
      <c r="Y439" s="4"/>
      <c r="Z439" s="7"/>
      <c r="AA439" s="82">
        <v>0</v>
      </c>
      <c r="AB439" s="82"/>
      <c r="AC439" s="82"/>
      <c r="AE439" s="10" t="s">
        <v>478</v>
      </c>
      <c r="AH439" s="23">
        <f>SUM('2020 detail'!J439:U439)+'2020 detail'!AA439+'2020 detail'!AB439</f>
        <v>3000</v>
      </c>
      <c r="AJ439" s="23">
        <f t="shared" si="88"/>
        <v>0</v>
      </c>
      <c r="AL439" t="str">
        <f t="shared" si="89"/>
        <v>Same</v>
      </c>
      <c r="AQ439" s="23">
        <v>1000</v>
      </c>
    </row>
    <row r="440" spans="1:44" s="6" customFormat="1" x14ac:dyDescent="0.2">
      <c r="A440" s="144" t="s">
        <v>336</v>
      </c>
      <c r="B440" s="9">
        <v>0</v>
      </c>
      <c r="C440" s="9" t="s">
        <v>495</v>
      </c>
      <c r="D440" s="9" t="s">
        <v>495</v>
      </c>
      <c r="E440" s="9"/>
      <c r="F440" s="9">
        <v>0</v>
      </c>
      <c r="G440" s="83">
        <v>3537</v>
      </c>
      <c r="H440" s="83">
        <f t="shared" si="85"/>
        <v>3537</v>
      </c>
      <c r="I440" s="133">
        <f t="shared" si="90"/>
        <v>1</v>
      </c>
      <c r="J440" s="82">
        <v>0</v>
      </c>
      <c r="K440" s="82"/>
      <c r="L440" s="82"/>
      <c r="M440" s="82"/>
      <c r="N440" s="82">
        <v>3600</v>
      </c>
      <c r="O440" s="82"/>
      <c r="P440" s="82"/>
      <c r="Q440" s="82"/>
      <c r="R440" s="82"/>
      <c r="S440" s="23"/>
      <c r="T440" s="23">
        <v>-63</v>
      </c>
      <c r="U440" s="23"/>
      <c r="V440" s="7" t="s">
        <v>818</v>
      </c>
      <c r="W440" s="82">
        <f t="shared" si="87"/>
        <v>0</v>
      </c>
      <c r="X440" s="7"/>
      <c r="Y440" s="4"/>
      <c r="Z440" s="7"/>
      <c r="AA440" s="82">
        <v>0</v>
      </c>
      <c r="AB440" s="82"/>
      <c r="AC440" s="82"/>
      <c r="AE440" s="10" t="s">
        <v>478</v>
      </c>
      <c r="AH440" s="23">
        <f>SUM('2020 detail'!J440:U440)+'2020 detail'!AA440+'2020 detail'!AB440</f>
        <v>2947</v>
      </c>
      <c r="AJ440" s="23">
        <f t="shared" si="88"/>
        <v>590</v>
      </c>
      <c r="AL440" t="str">
        <f t="shared" si="89"/>
        <v>Up</v>
      </c>
      <c r="AQ440" s="23"/>
      <c r="AR440" s="6" t="s">
        <v>1111</v>
      </c>
    </row>
    <row r="441" spans="1:44" s="6" customFormat="1" x14ac:dyDescent="0.2">
      <c r="A441" s="144" t="s">
        <v>337</v>
      </c>
      <c r="B441" s="9">
        <v>0</v>
      </c>
      <c r="C441" s="9" t="s">
        <v>495</v>
      </c>
      <c r="D441" s="9" t="s">
        <v>495</v>
      </c>
      <c r="E441" s="9"/>
      <c r="F441" s="9">
        <v>0</v>
      </c>
      <c r="G441" s="83">
        <v>27665</v>
      </c>
      <c r="H441" s="83">
        <f t="shared" si="85"/>
        <v>27665</v>
      </c>
      <c r="I441" s="133">
        <f t="shared" si="90"/>
        <v>1</v>
      </c>
      <c r="J441" s="82">
        <v>2771</v>
      </c>
      <c r="K441" s="82">
        <v>2766</v>
      </c>
      <c r="L441" s="82">
        <v>2766</v>
      </c>
      <c r="M441" s="82">
        <v>2766</v>
      </c>
      <c r="N441" s="82">
        <v>2766</v>
      </c>
      <c r="O441" s="82">
        <v>2766</v>
      </c>
      <c r="P441" s="82">
        <v>2766</v>
      </c>
      <c r="Q441" s="82">
        <v>2766</v>
      </c>
      <c r="R441" s="82">
        <v>2766</v>
      </c>
      <c r="S441" s="23">
        <v>2766</v>
      </c>
      <c r="T441" s="23"/>
      <c r="U441" s="23"/>
      <c r="V441" s="7" t="s">
        <v>819</v>
      </c>
      <c r="W441" s="82">
        <f t="shared" si="87"/>
        <v>0</v>
      </c>
      <c r="X441" s="7"/>
      <c r="Y441" s="4"/>
      <c r="Z441" s="7"/>
      <c r="AA441" s="82">
        <v>0</v>
      </c>
      <c r="AB441" s="82"/>
      <c r="AC441" s="82"/>
      <c r="AE441" s="10" t="s">
        <v>479</v>
      </c>
      <c r="AH441" s="23">
        <f>SUM('2020 detail'!J441:U441)+'2020 detail'!AA441+'2020 detail'!AB441</f>
        <v>27663</v>
      </c>
      <c r="AJ441" s="23">
        <f t="shared" si="88"/>
        <v>2</v>
      </c>
      <c r="AL441" t="str">
        <f t="shared" si="89"/>
        <v>Up</v>
      </c>
      <c r="AQ441" s="23"/>
    </row>
    <row r="442" spans="1:44" s="6" customFormat="1" x14ac:dyDescent="0.2">
      <c r="A442" s="144" t="s">
        <v>338</v>
      </c>
      <c r="B442" s="9">
        <v>0</v>
      </c>
      <c r="C442" s="9">
        <v>0</v>
      </c>
      <c r="D442" s="9" t="s">
        <v>495</v>
      </c>
      <c r="E442" s="9"/>
      <c r="F442" s="9">
        <v>0</v>
      </c>
      <c r="G442" s="83">
        <v>10246</v>
      </c>
      <c r="H442" s="83">
        <f t="shared" si="85"/>
        <v>12000</v>
      </c>
      <c r="I442" s="133">
        <f t="shared" si="90"/>
        <v>1.1712</v>
      </c>
      <c r="J442" s="82">
        <v>0</v>
      </c>
      <c r="K442" s="82"/>
      <c r="L442" s="82">
        <v>4000</v>
      </c>
      <c r="M442" s="82"/>
      <c r="N442" s="82"/>
      <c r="O442" s="82"/>
      <c r="P442" s="82"/>
      <c r="Q442" s="82">
        <v>4000</v>
      </c>
      <c r="R442" s="82"/>
      <c r="S442" s="23"/>
      <c r="T442" s="23">
        <v>4000</v>
      </c>
      <c r="U442" s="23"/>
      <c r="V442" s="7" t="s">
        <v>820</v>
      </c>
      <c r="W442" s="82">
        <f t="shared" si="87"/>
        <v>-1754</v>
      </c>
      <c r="X442" s="7"/>
      <c r="Y442" s="4"/>
      <c r="Z442" s="7"/>
      <c r="AA442" s="82">
        <v>0</v>
      </c>
      <c r="AB442" s="82"/>
      <c r="AC442" s="82"/>
      <c r="AE442" s="10" t="s">
        <v>480</v>
      </c>
      <c r="AH442" s="23">
        <f>SUM('2020 detail'!J442:U442)+'2020 detail'!AA442+'2020 detail'!AB442</f>
        <v>10500</v>
      </c>
      <c r="AJ442" s="23">
        <f t="shared" si="88"/>
        <v>1500</v>
      </c>
      <c r="AL442" t="str">
        <f t="shared" si="89"/>
        <v>Up</v>
      </c>
      <c r="AQ442" s="23"/>
    </row>
    <row r="443" spans="1:44" s="6" customFormat="1" x14ac:dyDescent="0.2">
      <c r="A443" s="144" t="s">
        <v>339</v>
      </c>
      <c r="B443" s="9" t="s">
        <v>495</v>
      </c>
      <c r="C443" s="9" t="s">
        <v>495</v>
      </c>
      <c r="D443" s="9" t="s">
        <v>495</v>
      </c>
      <c r="E443" s="9"/>
      <c r="F443" s="9">
        <v>0</v>
      </c>
      <c r="G443" s="83">
        <v>6850</v>
      </c>
      <c r="H443" s="83">
        <f t="shared" si="85"/>
        <v>6850</v>
      </c>
      <c r="I443" s="133">
        <f t="shared" si="90"/>
        <v>1</v>
      </c>
      <c r="J443" s="82">
        <v>0</v>
      </c>
      <c r="K443" s="82">
        <v>1850</v>
      </c>
      <c r="L443" s="82">
        <v>1000</v>
      </c>
      <c r="M443" s="82"/>
      <c r="N443" s="82">
        <v>1000</v>
      </c>
      <c r="O443" s="82"/>
      <c r="P443" s="82">
        <v>1500</v>
      </c>
      <c r="Q443" s="82"/>
      <c r="R443" s="82">
        <v>1500</v>
      </c>
      <c r="S443" s="23"/>
      <c r="T443" s="23"/>
      <c r="U443" s="23"/>
      <c r="V443" s="7" t="s">
        <v>821</v>
      </c>
      <c r="W443" s="82">
        <f t="shared" si="87"/>
        <v>0</v>
      </c>
      <c r="X443" s="7"/>
      <c r="Y443" s="4"/>
      <c r="Z443" s="7"/>
      <c r="AA443" s="82">
        <v>0</v>
      </c>
      <c r="AB443" s="82"/>
      <c r="AC443" s="82"/>
      <c r="AE443" s="10" t="s">
        <v>480</v>
      </c>
      <c r="AH443" s="23">
        <f>SUM('2020 detail'!J443:U443)+'2020 detail'!AA443+'2020 detail'!AB443</f>
        <v>6850</v>
      </c>
      <c r="AJ443" s="23">
        <f t="shared" si="88"/>
        <v>0</v>
      </c>
      <c r="AL443" t="str">
        <f t="shared" si="89"/>
        <v>Same</v>
      </c>
      <c r="AQ443" s="23"/>
    </row>
    <row r="444" spans="1:44" s="6" customFormat="1" x14ac:dyDescent="0.2">
      <c r="A444" s="144" t="s">
        <v>340</v>
      </c>
      <c r="B444" s="9">
        <v>0</v>
      </c>
      <c r="C444" s="9" t="s">
        <v>495</v>
      </c>
      <c r="D444" s="9" t="s">
        <v>495</v>
      </c>
      <c r="E444" s="9"/>
      <c r="F444" s="9">
        <v>0</v>
      </c>
      <c r="G444" s="83">
        <v>4817</v>
      </c>
      <c r="H444" s="83">
        <f t="shared" si="85"/>
        <v>4819</v>
      </c>
      <c r="I444" s="133">
        <f t="shared" si="90"/>
        <v>1.0004</v>
      </c>
      <c r="J444" s="82">
        <v>0</v>
      </c>
      <c r="K444" s="82"/>
      <c r="L444" s="82"/>
      <c r="M444" s="82"/>
      <c r="N444" s="82">
        <v>2409</v>
      </c>
      <c r="O444" s="82"/>
      <c r="P444" s="82"/>
      <c r="Q444" s="82">
        <v>2410</v>
      </c>
      <c r="R444" s="82"/>
      <c r="S444" s="23"/>
      <c r="T444" s="23"/>
      <c r="U444" s="23"/>
      <c r="V444" s="7" t="s">
        <v>822</v>
      </c>
      <c r="W444" s="82">
        <f t="shared" si="87"/>
        <v>-2</v>
      </c>
      <c r="X444" s="7"/>
      <c r="Y444" s="4"/>
      <c r="Z444" s="7"/>
      <c r="AA444" s="82">
        <v>0</v>
      </c>
      <c r="AB444" s="82"/>
      <c r="AC444" s="82"/>
      <c r="AE444" s="10" t="s">
        <v>479</v>
      </c>
      <c r="AH444" s="23">
        <f>SUM('2020 detail'!J444:U444)+'2020 detail'!AA444+'2020 detail'!AB444</f>
        <v>4819</v>
      </c>
      <c r="AJ444" s="23">
        <f t="shared" si="88"/>
        <v>0</v>
      </c>
      <c r="AL444" t="str">
        <f t="shared" si="89"/>
        <v>Same</v>
      </c>
      <c r="AQ444" s="23"/>
    </row>
    <row r="445" spans="1:44" s="6" customFormat="1" x14ac:dyDescent="0.2">
      <c r="A445" s="144" t="s">
        <v>341</v>
      </c>
      <c r="B445" s="9" t="s">
        <v>495</v>
      </c>
      <c r="C445" s="9">
        <v>0</v>
      </c>
      <c r="D445" s="9">
        <v>0</v>
      </c>
      <c r="E445" s="9"/>
      <c r="F445" s="9">
        <v>0</v>
      </c>
      <c r="G445" s="83">
        <v>10300</v>
      </c>
      <c r="H445" s="83">
        <f t="shared" si="85"/>
        <v>10300</v>
      </c>
      <c r="I445" s="133">
        <f t="shared" si="90"/>
        <v>1</v>
      </c>
      <c r="J445" s="82">
        <v>0</v>
      </c>
      <c r="K445" s="82"/>
      <c r="L445" s="82">
        <v>3000</v>
      </c>
      <c r="M445" s="82"/>
      <c r="N445" s="82"/>
      <c r="O445" s="82"/>
      <c r="P445" s="82">
        <v>3000</v>
      </c>
      <c r="Q445" s="82"/>
      <c r="R445" s="82">
        <v>3000</v>
      </c>
      <c r="S445" s="23"/>
      <c r="T445" s="23">
        <v>1300</v>
      </c>
      <c r="U445" s="23"/>
      <c r="V445" s="7" t="s">
        <v>823</v>
      </c>
      <c r="W445" s="82">
        <f t="shared" si="87"/>
        <v>0</v>
      </c>
      <c r="X445" s="7"/>
      <c r="Y445" s="4"/>
      <c r="Z445" s="7"/>
      <c r="AA445" s="82">
        <v>0</v>
      </c>
      <c r="AB445" s="82"/>
      <c r="AC445" s="82"/>
      <c r="AE445" s="10" t="s">
        <v>480</v>
      </c>
      <c r="AH445" s="23">
        <f>SUM('2020 detail'!J445:U445)+'2020 detail'!AA445+'2020 detail'!AB445</f>
        <v>10300</v>
      </c>
      <c r="AJ445" s="23">
        <f t="shared" si="88"/>
        <v>0</v>
      </c>
      <c r="AL445" t="str">
        <f t="shared" si="89"/>
        <v>Same</v>
      </c>
      <c r="AQ445" s="23"/>
    </row>
    <row r="446" spans="1:44" x14ac:dyDescent="0.2">
      <c r="A446" s="144" t="s">
        <v>342</v>
      </c>
      <c r="B446" s="9" t="s">
        <v>495</v>
      </c>
      <c r="C446" s="9" t="s">
        <v>495</v>
      </c>
      <c r="D446" s="9" t="s">
        <v>495</v>
      </c>
      <c r="E446" s="9"/>
      <c r="F446" s="9" t="s">
        <v>495</v>
      </c>
      <c r="G446" s="83">
        <v>6007</v>
      </c>
      <c r="H446" s="83">
        <f t="shared" si="85"/>
        <v>6007</v>
      </c>
      <c r="I446" s="133">
        <f t="shared" si="90"/>
        <v>1</v>
      </c>
      <c r="J446" s="82">
        <v>500.62</v>
      </c>
      <c r="K446" s="82">
        <v>500.58</v>
      </c>
      <c r="L446" s="82">
        <v>500.58</v>
      </c>
      <c r="M446" s="82">
        <v>500.58</v>
      </c>
      <c r="N446" s="82">
        <v>500.58</v>
      </c>
      <c r="O446" s="82">
        <v>500.58</v>
      </c>
      <c r="P446" s="82">
        <v>500.58</v>
      </c>
      <c r="Q446" s="82">
        <v>500.58</v>
      </c>
      <c r="R446" s="82">
        <v>500.58</v>
      </c>
      <c r="S446" s="23">
        <v>500.58</v>
      </c>
      <c r="T446" s="23">
        <v>500.58</v>
      </c>
      <c r="U446" s="23">
        <v>500.58</v>
      </c>
      <c r="V446" s="7" t="s">
        <v>824</v>
      </c>
      <c r="W446" s="82">
        <f t="shared" si="87"/>
        <v>0</v>
      </c>
      <c r="Y446" s="4"/>
      <c r="AA446" s="82">
        <v>0</v>
      </c>
      <c r="AB446" s="82"/>
      <c r="AC446" s="82"/>
      <c r="AE446" s="7" t="s">
        <v>477</v>
      </c>
      <c r="AH446" s="23">
        <f>SUM('2020 detail'!J446:U446)+'2020 detail'!AA446+'2020 detail'!AB446</f>
        <v>5602.9999999999991</v>
      </c>
      <c r="AJ446" s="23">
        <f t="shared" si="88"/>
        <v>404.00000000000091</v>
      </c>
      <c r="AL446" t="str">
        <f t="shared" si="89"/>
        <v>Up</v>
      </c>
      <c r="AQ446" s="23">
        <v>500.58</v>
      </c>
    </row>
    <row r="447" spans="1:44" x14ac:dyDescent="0.2">
      <c r="A447" s="144" t="s">
        <v>343</v>
      </c>
      <c r="B447" s="9" t="s">
        <v>495</v>
      </c>
      <c r="C447" s="9" t="s">
        <v>495</v>
      </c>
      <c r="D447" s="9">
        <v>0</v>
      </c>
      <c r="E447" s="9"/>
      <c r="F447" s="9" t="s">
        <v>495</v>
      </c>
      <c r="G447" s="83">
        <v>9793</v>
      </c>
      <c r="H447" s="83">
        <f t="shared" si="85"/>
        <v>9793</v>
      </c>
      <c r="I447" s="133">
        <f t="shared" si="90"/>
        <v>1</v>
      </c>
      <c r="J447" s="82">
        <v>793.35</v>
      </c>
      <c r="K447" s="82">
        <v>793.35</v>
      </c>
      <c r="L447" s="82">
        <v>820.63</v>
      </c>
      <c r="M447" s="82">
        <v>820.63</v>
      </c>
      <c r="N447" s="82">
        <v>820.63</v>
      </c>
      <c r="O447" s="82">
        <v>820.63</v>
      </c>
      <c r="P447" s="82">
        <v>820.63</v>
      </c>
      <c r="Q447" s="82">
        <v>820.63</v>
      </c>
      <c r="R447" s="82">
        <v>820.63</v>
      </c>
      <c r="S447" s="23">
        <v>820.63</v>
      </c>
      <c r="T447" s="23">
        <v>820.63</v>
      </c>
      <c r="U447" s="23">
        <v>820.63</v>
      </c>
      <c r="V447" s="7" t="s">
        <v>825</v>
      </c>
      <c r="W447" s="82">
        <f t="shared" si="87"/>
        <v>0</v>
      </c>
      <c r="Y447" s="4"/>
      <c r="AA447" s="82">
        <v>0</v>
      </c>
      <c r="AB447" s="82"/>
      <c r="AC447" s="82"/>
      <c r="AE447" s="7" t="s">
        <v>474</v>
      </c>
      <c r="AH447" s="23">
        <f>SUM('2020 detail'!J447:U447)+'2020 detail'!AA447+'2020 detail'!AB447</f>
        <v>9475.0000000000018</v>
      </c>
      <c r="AJ447" s="23">
        <f t="shared" si="88"/>
        <v>317.99999999999818</v>
      </c>
      <c r="AL447" t="str">
        <f t="shared" si="89"/>
        <v>Up</v>
      </c>
      <c r="AQ447" s="23">
        <v>820.63</v>
      </c>
    </row>
    <row r="448" spans="1:44" x14ac:dyDescent="0.2">
      <c r="B448" s="9"/>
      <c r="C448" s="9"/>
      <c r="E448" s="9"/>
      <c r="F448" s="9"/>
      <c r="G448" s="205"/>
      <c r="H448" s="197"/>
      <c r="I448" s="133"/>
      <c r="AJ448" s="23">
        <f t="shared" si="88"/>
        <v>0</v>
      </c>
    </row>
    <row r="449" spans="1:44" x14ac:dyDescent="0.2">
      <c r="I449" s="133"/>
      <c r="AJ449" s="23"/>
    </row>
    <row r="450" spans="1:44" x14ac:dyDescent="0.2">
      <c r="A450" s="235" t="s">
        <v>1056</v>
      </c>
      <c r="G450" s="83">
        <f t="shared" ref="G450:H450" si="91">SUM(G401:G449)</f>
        <v>623163</v>
      </c>
      <c r="H450" s="83">
        <f t="shared" si="91"/>
        <v>600704.42999999993</v>
      </c>
      <c r="I450" s="133">
        <f t="shared" ref="I450:I451" si="92">ROUND((H450/G450),4)</f>
        <v>0.96399999999999997</v>
      </c>
      <c r="J450" s="83">
        <f>SUM(J401:J449)</f>
        <v>37083.000000000007</v>
      </c>
      <c r="K450" s="83">
        <f t="shared" ref="K450:W450" si="93">SUM(K401:K449)</f>
        <v>39941.920000000006</v>
      </c>
      <c r="L450" s="83">
        <f t="shared" si="93"/>
        <v>55851.210000000006</v>
      </c>
      <c r="M450" s="83">
        <f t="shared" si="93"/>
        <v>39906.410000000003</v>
      </c>
      <c r="N450" s="83">
        <f t="shared" si="93"/>
        <v>51200.820000000007</v>
      </c>
      <c r="O450" s="83">
        <f t="shared" si="93"/>
        <v>39687.340000000004</v>
      </c>
      <c r="P450" s="83">
        <f t="shared" si="93"/>
        <v>58000.350000000013</v>
      </c>
      <c r="Q450" s="83">
        <f t="shared" si="93"/>
        <v>50445.37</v>
      </c>
      <c r="R450" s="83">
        <f t="shared" si="93"/>
        <v>52087.37</v>
      </c>
      <c r="S450" s="4">
        <f t="shared" si="93"/>
        <v>42187.37</v>
      </c>
      <c r="T450" s="4">
        <f t="shared" si="93"/>
        <v>57592.11</v>
      </c>
      <c r="U450" s="4">
        <f t="shared" si="93"/>
        <v>72834.380000000019</v>
      </c>
      <c r="V450" s="77"/>
      <c r="W450" s="82">
        <f t="shared" si="93"/>
        <v>22458.570000000003</v>
      </c>
      <c r="Y450" s="4"/>
      <c r="Z450" s="77"/>
      <c r="AA450" s="83">
        <f>SUM(AA401:AA449)</f>
        <v>250</v>
      </c>
      <c r="AB450" s="83">
        <f t="shared" ref="AB450:AC450" si="94">SUM(AB401:AB449)</f>
        <v>3636.78</v>
      </c>
      <c r="AC450" s="83">
        <f t="shared" si="94"/>
        <v>0</v>
      </c>
      <c r="AD450" s="4"/>
      <c r="AH450" s="23">
        <f>SUM(AH401:AH449)</f>
        <v>591124.86</v>
      </c>
      <c r="AJ450" s="23">
        <f t="shared" si="88"/>
        <v>9579.5699999999488</v>
      </c>
      <c r="AM450" s="11">
        <f>SUM(J450:R450)+SUM(S451:U451)+SUM('2020 detail'!AA449:AC449)</f>
        <v>573814.7300000001</v>
      </c>
      <c r="AN450" s="24">
        <f>ROUND((AM450/G450),4)</f>
        <v>0.92079999999999995</v>
      </c>
      <c r="AO450" s="24">
        <f>ROUND((SUM(J451:U451)/G451),4)</f>
        <v>0.9355</v>
      </c>
      <c r="AQ450" s="23">
        <f>SUM(AQ401:AQ449)</f>
        <v>72518.570000000022</v>
      </c>
      <c r="AR450">
        <v>63</v>
      </c>
    </row>
    <row r="451" spans="1:44" x14ac:dyDescent="0.2">
      <c r="A451" s="236" t="s">
        <v>1057</v>
      </c>
      <c r="G451" s="206">
        <f>'2020 detail'!G450</f>
        <v>630674</v>
      </c>
      <c r="H451" s="206">
        <f>SUM(J451:AC451)</f>
        <v>591124.8600000001</v>
      </c>
      <c r="I451" s="207">
        <f t="shared" si="92"/>
        <v>0.93730000000000002</v>
      </c>
      <c r="J451" s="206">
        <f>'2020 detail'!J450</f>
        <v>44977.919999999998</v>
      </c>
      <c r="K451" s="206">
        <f>'2020 detail'!K450</f>
        <v>43845.810000000012</v>
      </c>
      <c r="L451" s="206">
        <f>'2020 detail'!L450</f>
        <v>56557.510000000017</v>
      </c>
      <c r="M451" s="206">
        <f>'2020 detail'!M450</f>
        <v>45081.69000000001</v>
      </c>
      <c r="N451" s="206">
        <f>'2020 detail'!N450</f>
        <v>44908.000000000007</v>
      </c>
      <c r="O451" s="206">
        <f>'2020 detail'!O450</f>
        <v>63215.390000000021</v>
      </c>
      <c r="P451" s="206">
        <f>'2020 detail'!P450</f>
        <v>54794.590000000004</v>
      </c>
      <c r="Q451" s="206">
        <f>'2020 detail'!Q450</f>
        <v>48005.590000000004</v>
      </c>
      <c r="R451" s="206">
        <f>'2020 detail'!R450</f>
        <v>39005.590000000004</v>
      </c>
      <c r="S451" s="165">
        <f>'2020 detail'!S450</f>
        <v>43983.76</v>
      </c>
      <c r="T451" s="165">
        <f>'2020 detail'!T450</f>
        <v>43367.76</v>
      </c>
      <c r="U451" s="165">
        <f>'2020 detail'!U450</f>
        <v>62259.420000000035</v>
      </c>
      <c r="AA451" s="165">
        <f>'2020 detail'!AA450</f>
        <v>1121.83</v>
      </c>
      <c r="AB451" s="165">
        <f>'2020 detail'!AB450</f>
        <v>0</v>
      </c>
      <c r="AC451" s="165">
        <f>'2020 detail'!AC450</f>
        <v>0</v>
      </c>
      <c r="AJ451" s="23"/>
    </row>
    <row r="452" spans="1:44" x14ac:dyDescent="0.2">
      <c r="AJ452" s="23"/>
    </row>
    <row r="453" spans="1:44" ht="15.75" x14ac:dyDescent="0.25">
      <c r="G453" s="196" t="s">
        <v>17</v>
      </c>
      <c r="AH453" s="171" t="s">
        <v>1067</v>
      </c>
      <c r="AI453" s="172"/>
      <c r="AJ453" s="171" t="s">
        <v>1064</v>
      </c>
    </row>
    <row r="454" spans="1:44" x14ac:dyDescent="0.2">
      <c r="AH454" s="171" t="s">
        <v>1096</v>
      </c>
      <c r="AI454" s="172"/>
      <c r="AJ454" s="171" t="s">
        <v>1065</v>
      </c>
    </row>
    <row r="455" spans="1:44" ht="16.5" x14ac:dyDescent="0.25">
      <c r="A455" s="6"/>
      <c r="B455" s="8"/>
      <c r="C455" s="8"/>
      <c r="E455" s="8"/>
      <c r="F455" s="8"/>
      <c r="G455" s="208" t="str">
        <f>$G$3</f>
        <v>2021 PARISH SHARE INFORMATION AS AT 22 FEBRUARY 2022</v>
      </c>
      <c r="H455" s="209"/>
      <c r="W455" s="194"/>
      <c r="X455"/>
      <c r="Y455"/>
      <c r="Z455"/>
      <c r="AA455"/>
      <c r="AB455"/>
      <c r="AC455"/>
      <c r="AH455" s="172"/>
      <c r="AI455" s="172"/>
      <c r="AJ455" s="171" t="s">
        <v>1066</v>
      </c>
    </row>
    <row r="456" spans="1:44" x14ac:dyDescent="0.2">
      <c r="A456" s="6"/>
      <c r="G456" s="205"/>
      <c r="H456" s="197"/>
      <c r="W456" s="194"/>
      <c r="X456"/>
      <c r="Y456"/>
      <c r="Z456"/>
      <c r="AA456"/>
      <c r="AB456"/>
      <c r="AC456"/>
      <c r="AJ456" s="23"/>
    </row>
    <row r="457" spans="1:44" ht="16.5" x14ac:dyDescent="0.25">
      <c r="A457" s="204" t="s">
        <v>1</v>
      </c>
      <c r="B457" s="151" t="str">
        <f>$B$5</f>
        <v>RM</v>
      </c>
      <c r="C457" s="151" t="str">
        <f>$C$5</f>
        <v>RF</v>
      </c>
      <c r="D457" s="151" t="str">
        <f>$D$5</f>
        <v>Accts</v>
      </c>
      <c r="E457" s="151"/>
      <c r="F457" s="151" t="str">
        <f>$F$5</f>
        <v>Share DD</v>
      </c>
      <c r="G457" s="210" t="str">
        <f>$G$5</f>
        <v xml:space="preserve">2021 Share </v>
      </c>
      <c r="H457" s="211" t="str">
        <f>$H$5</f>
        <v xml:space="preserve">2021 Paid </v>
      </c>
      <c r="I457" s="211" t="str">
        <f>$I$5</f>
        <v xml:space="preserve">% Paid </v>
      </c>
      <c r="J457" s="212">
        <f>$J$5</f>
        <v>44227</v>
      </c>
      <c r="K457" s="212">
        <f>$K$5</f>
        <v>44255</v>
      </c>
      <c r="L457" s="212">
        <f>$L$5</f>
        <v>44286</v>
      </c>
      <c r="M457" s="212">
        <f>$M$5</f>
        <v>44316</v>
      </c>
      <c r="N457" s="212">
        <f>$N$5</f>
        <v>44347</v>
      </c>
      <c r="O457" s="212">
        <f>$O$5</f>
        <v>44377</v>
      </c>
      <c r="P457" s="212">
        <f>$P$5</f>
        <v>44408</v>
      </c>
      <c r="Q457" s="212">
        <f>$Q$5</f>
        <v>44439</v>
      </c>
      <c r="R457" s="212">
        <f>$R$5</f>
        <v>44469</v>
      </c>
      <c r="S457" s="155">
        <f>$S$5</f>
        <v>44500</v>
      </c>
      <c r="T457" s="155">
        <f>$T$5</f>
        <v>44530</v>
      </c>
      <c r="U457" s="155">
        <f>$U$5</f>
        <v>44561</v>
      </c>
      <c r="V457" s="78"/>
      <c r="W457" s="195" t="str">
        <f>$W$5</f>
        <v xml:space="preserve">Outstanding </v>
      </c>
      <c r="X457" s="2"/>
      <c r="Y457" s="2"/>
      <c r="Z457" s="2"/>
      <c r="AA457" s="2">
        <f>$AA$5</f>
        <v>44592</v>
      </c>
      <c r="AB457" s="2">
        <f>$AB$5</f>
        <v>44620</v>
      </c>
      <c r="AC457" s="2">
        <f>$AC$5</f>
        <v>44651</v>
      </c>
      <c r="AE457" s="152" t="str">
        <f>$AE$5</f>
        <v>Benefice</v>
      </c>
      <c r="AH457" s="16" t="s">
        <v>1062</v>
      </c>
      <c r="AJ457" s="170" t="s">
        <v>1063</v>
      </c>
      <c r="AQ457" s="222">
        <f>AQ5</f>
        <v>44588</v>
      </c>
    </row>
    <row r="458" spans="1:44" ht="16.5" x14ac:dyDescent="0.25">
      <c r="A458" s="6"/>
      <c r="G458" s="201" t="s">
        <v>1040</v>
      </c>
      <c r="H458" s="202" t="s">
        <v>1040</v>
      </c>
      <c r="I458" s="203"/>
      <c r="J458" s="202" t="s">
        <v>1040</v>
      </c>
      <c r="K458" s="202" t="s">
        <v>1040</v>
      </c>
      <c r="L458" s="202" t="s">
        <v>1040</v>
      </c>
      <c r="M458" s="202" t="s">
        <v>1040</v>
      </c>
      <c r="N458" s="202" t="s">
        <v>1040</v>
      </c>
      <c r="O458" s="202" t="s">
        <v>1040</v>
      </c>
      <c r="P458" s="202" t="s">
        <v>1040</v>
      </c>
      <c r="Q458" s="202" t="s">
        <v>1040</v>
      </c>
      <c r="R458" s="202" t="s">
        <v>1040</v>
      </c>
      <c r="S458" s="147" t="s">
        <v>1040</v>
      </c>
      <c r="T458" s="147" t="s">
        <v>1040</v>
      </c>
      <c r="U458" s="147" t="s">
        <v>1040</v>
      </c>
      <c r="W458" s="194"/>
      <c r="X458"/>
      <c r="Y458"/>
      <c r="Z458"/>
      <c r="AA458"/>
      <c r="AB458"/>
      <c r="AC458"/>
      <c r="AJ458" s="23"/>
    </row>
    <row r="459" spans="1:44" x14ac:dyDescent="0.2">
      <c r="AJ459" s="23"/>
    </row>
    <row r="460" spans="1:44" x14ac:dyDescent="0.2">
      <c r="A460" s="144" t="s">
        <v>344</v>
      </c>
      <c r="B460" s="9">
        <v>0</v>
      </c>
      <c r="C460" s="9" t="s">
        <v>495</v>
      </c>
      <c r="D460" s="9" t="s">
        <v>495</v>
      </c>
      <c r="E460" s="9"/>
      <c r="F460" s="9" t="s">
        <v>495</v>
      </c>
      <c r="G460" s="83">
        <v>57153</v>
      </c>
      <c r="H460" s="83">
        <f t="shared" ref="H460:H487" si="95">SUM(J460:U460)+SUM(AA460:AC460)</f>
        <v>57153</v>
      </c>
      <c r="I460" s="133">
        <f t="shared" ref="I460" si="96">ROUND((H460/G460),4)</f>
        <v>1</v>
      </c>
      <c r="J460" s="82">
        <v>3500</v>
      </c>
      <c r="K460" s="82">
        <v>3500</v>
      </c>
      <c r="L460" s="82">
        <v>3500</v>
      </c>
      <c r="M460" s="82">
        <v>3500</v>
      </c>
      <c r="N460" s="82">
        <v>3500</v>
      </c>
      <c r="O460" s="82">
        <v>3500</v>
      </c>
      <c r="P460" s="82">
        <v>3500</v>
      </c>
      <c r="Q460" s="82">
        <v>3500</v>
      </c>
      <c r="R460" s="82">
        <v>3500</v>
      </c>
      <c r="S460" s="23">
        <v>3500</v>
      </c>
      <c r="T460" s="23">
        <v>18653</v>
      </c>
      <c r="U460" s="23">
        <v>3500</v>
      </c>
      <c r="V460" s="79" t="s">
        <v>826</v>
      </c>
      <c r="W460" s="82">
        <f t="shared" ref="W460:W487" si="97">G460-H460</f>
        <v>0</v>
      </c>
      <c r="Y460" s="4"/>
      <c r="Z460" s="4"/>
      <c r="AA460" s="82">
        <v>0</v>
      </c>
      <c r="AB460" s="82"/>
      <c r="AC460" s="82"/>
      <c r="AD460" s="23"/>
      <c r="AE460" s="7" t="s">
        <v>483</v>
      </c>
      <c r="AH460" s="23">
        <f>SUM('2020 detail'!J460:U460)+'2020 detail'!AA460+'2020 detail'!AB460</f>
        <v>57153</v>
      </c>
      <c r="AJ460" s="23">
        <f t="shared" ref="AJ460:AJ492" si="98">H460-AH460</f>
        <v>0</v>
      </c>
      <c r="AL460" t="str">
        <f t="shared" ref="AL460:AL487" si="99">IF(AJ460&lt;0,"Down",IF(AJ460&gt;0,"Up","Same"))</f>
        <v>Same</v>
      </c>
      <c r="AQ460" s="23">
        <v>3500</v>
      </c>
    </row>
    <row r="461" spans="1:44" x14ac:dyDescent="0.2">
      <c r="A461" s="144" t="s">
        <v>345</v>
      </c>
      <c r="B461" s="9">
        <v>0</v>
      </c>
      <c r="C461" s="9">
        <v>0</v>
      </c>
      <c r="D461" s="9">
        <v>0</v>
      </c>
      <c r="E461" s="9"/>
      <c r="F461" s="9">
        <v>0</v>
      </c>
      <c r="G461" s="83">
        <v>6350</v>
      </c>
      <c r="H461" s="83">
        <f t="shared" si="95"/>
        <v>4349.5</v>
      </c>
      <c r="I461" s="133">
        <f t="shared" ref="I461:I492" si="100">ROUND((H461/G461),4)</f>
        <v>0.68500000000000005</v>
      </c>
      <c r="J461" s="82">
        <v>0</v>
      </c>
      <c r="K461" s="82"/>
      <c r="L461" s="82"/>
      <c r="M461" s="82">
        <v>1587.5</v>
      </c>
      <c r="N461" s="82"/>
      <c r="O461" s="82"/>
      <c r="P461" s="82"/>
      <c r="Q461" s="82"/>
      <c r="R461" s="82"/>
      <c r="S461" s="23"/>
      <c r="T461" s="23"/>
      <c r="U461" s="23">
        <v>2762</v>
      </c>
      <c r="V461" s="79" t="s">
        <v>827</v>
      </c>
      <c r="W461" s="82">
        <f t="shared" si="97"/>
        <v>2000.5</v>
      </c>
      <c r="Y461" s="4"/>
      <c r="Z461" s="4"/>
      <c r="AA461" s="82">
        <v>0</v>
      </c>
      <c r="AB461" s="82"/>
      <c r="AC461" s="82"/>
      <c r="AD461" s="23"/>
      <c r="AE461" s="7" t="s">
        <v>483</v>
      </c>
      <c r="AH461" s="23">
        <f>SUM('2020 detail'!J461:U461)+'2020 detail'!AA461+'2020 detail'!AB461</f>
        <v>5569.44</v>
      </c>
      <c r="AJ461" s="23">
        <f t="shared" si="98"/>
        <v>-1219.9399999999996</v>
      </c>
      <c r="AL461" t="str">
        <f t="shared" si="99"/>
        <v>Down</v>
      </c>
      <c r="AQ461" s="23">
        <v>2762</v>
      </c>
    </row>
    <row r="462" spans="1:44" x14ac:dyDescent="0.2">
      <c r="A462" s="144" t="s">
        <v>346</v>
      </c>
      <c r="B462" s="9" t="s">
        <v>495</v>
      </c>
      <c r="C462" s="9">
        <v>0</v>
      </c>
      <c r="D462" s="9">
        <v>0</v>
      </c>
      <c r="E462" s="9"/>
      <c r="F462" s="9" t="s">
        <v>495</v>
      </c>
      <c r="G462" s="83">
        <v>4165</v>
      </c>
      <c r="H462" s="83">
        <f t="shared" si="95"/>
        <v>4165</v>
      </c>
      <c r="I462" s="133">
        <f t="shared" si="100"/>
        <v>1</v>
      </c>
      <c r="J462" s="82">
        <v>347.12</v>
      </c>
      <c r="K462" s="82">
        <v>347.08</v>
      </c>
      <c r="L462" s="82">
        <v>347.08</v>
      </c>
      <c r="M462" s="82">
        <v>347.08</v>
      </c>
      <c r="N462" s="82">
        <v>347.08</v>
      </c>
      <c r="O462" s="82">
        <v>347.08</v>
      </c>
      <c r="P462" s="82">
        <v>347.08</v>
      </c>
      <c r="Q462" s="82">
        <v>347.08</v>
      </c>
      <c r="R462" s="82">
        <v>347.08</v>
      </c>
      <c r="S462" s="23">
        <v>347.08</v>
      </c>
      <c r="T462" s="23">
        <v>347.08</v>
      </c>
      <c r="U462" s="23">
        <v>347.08</v>
      </c>
      <c r="V462" s="79" t="s">
        <v>828</v>
      </c>
      <c r="W462" s="82">
        <f t="shared" si="97"/>
        <v>0</v>
      </c>
      <c r="Y462" s="4"/>
      <c r="Z462" s="4"/>
      <c r="AA462" s="82">
        <v>0</v>
      </c>
      <c r="AB462" s="82"/>
      <c r="AC462" s="82"/>
      <c r="AD462" s="23"/>
      <c r="AE462" s="7" t="s">
        <v>481</v>
      </c>
      <c r="AH462" s="23">
        <f>SUM('2020 detail'!J462:U462)+'2020 detail'!AA462+'2020 detail'!AB462</f>
        <v>4165.0000000000009</v>
      </c>
      <c r="AJ462" s="23">
        <f t="shared" si="98"/>
        <v>0</v>
      </c>
      <c r="AL462" t="str">
        <f t="shared" si="99"/>
        <v>Same</v>
      </c>
      <c r="AQ462" s="23">
        <v>347.08</v>
      </c>
    </row>
    <row r="463" spans="1:44" x14ac:dyDescent="0.2">
      <c r="A463" s="144" t="s">
        <v>347</v>
      </c>
      <c r="B463" s="9" t="s">
        <v>495</v>
      </c>
      <c r="C463" s="9" t="s">
        <v>495</v>
      </c>
      <c r="D463" s="9">
        <v>0</v>
      </c>
      <c r="E463" s="9"/>
      <c r="F463" s="9">
        <v>0</v>
      </c>
      <c r="G463" s="83">
        <v>25582</v>
      </c>
      <c r="H463" s="83">
        <f t="shared" si="95"/>
        <v>25582</v>
      </c>
      <c r="I463" s="133">
        <f t="shared" si="100"/>
        <v>1</v>
      </c>
      <c r="J463" s="82">
        <v>0</v>
      </c>
      <c r="K463" s="82"/>
      <c r="L463" s="82">
        <v>2000</v>
      </c>
      <c r="M463" s="82"/>
      <c r="N463" s="82"/>
      <c r="O463" s="82">
        <v>2000</v>
      </c>
      <c r="P463" s="82">
        <v>4000</v>
      </c>
      <c r="Q463" s="82"/>
      <c r="R463" s="82">
        <v>4000</v>
      </c>
      <c r="S463" s="23"/>
      <c r="T463" s="23">
        <v>2000</v>
      </c>
      <c r="U463" s="23">
        <v>11582</v>
      </c>
      <c r="V463" s="79" t="s">
        <v>829</v>
      </c>
      <c r="W463" s="82">
        <f t="shared" si="97"/>
        <v>0</v>
      </c>
      <c r="Y463" s="4"/>
      <c r="Z463" s="4"/>
      <c r="AA463" s="82">
        <v>0</v>
      </c>
      <c r="AB463" s="82"/>
      <c r="AC463" s="82"/>
      <c r="AD463" s="23"/>
      <c r="AE463" s="7" t="s">
        <v>494</v>
      </c>
      <c r="AH463" s="23">
        <f>SUM('2020 detail'!J463:U463)+'2020 detail'!AA463+'2020 detail'!AB463</f>
        <v>25447</v>
      </c>
      <c r="AJ463" s="23">
        <f t="shared" si="98"/>
        <v>135</v>
      </c>
      <c r="AL463" t="str">
        <f t="shared" si="99"/>
        <v>Up</v>
      </c>
      <c r="AQ463" s="23">
        <v>11582</v>
      </c>
    </row>
    <row r="464" spans="1:44" x14ac:dyDescent="0.2">
      <c r="A464" s="144" t="s">
        <v>348</v>
      </c>
      <c r="B464" s="9">
        <v>0</v>
      </c>
      <c r="C464" s="9">
        <v>0</v>
      </c>
      <c r="D464" s="9">
        <v>0</v>
      </c>
      <c r="E464" s="9"/>
      <c r="F464" s="9">
        <v>0</v>
      </c>
      <c r="G464" s="83">
        <v>0</v>
      </c>
      <c r="H464" s="83">
        <f t="shared" si="95"/>
        <v>0</v>
      </c>
      <c r="I464" s="133" t="e">
        <f t="shared" si="100"/>
        <v>#DIV/0!</v>
      </c>
      <c r="J464" s="82">
        <v>0</v>
      </c>
      <c r="K464" s="82"/>
      <c r="L464" s="82"/>
      <c r="M464" s="82"/>
      <c r="N464" s="82"/>
      <c r="O464" s="82"/>
      <c r="P464" s="82"/>
      <c r="Q464" s="82"/>
      <c r="R464" s="82"/>
      <c r="S464" s="23"/>
      <c r="T464" s="23"/>
      <c r="U464" s="23"/>
      <c r="V464" s="79" t="s">
        <v>830</v>
      </c>
      <c r="W464" s="82">
        <f t="shared" si="97"/>
        <v>0</v>
      </c>
      <c r="Y464" s="4"/>
      <c r="Z464" s="4"/>
      <c r="AA464" s="82">
        <v>0</v>
      </c>
      <c r="AB464" s="82"/>
      <c r="AC464" s="82"/>
      <c r="AD464" s="23"/>
      <c r="AE464" s="7" t="s">
        <v>494</v>
      </c>
      <c r="AH464" s="23">
        <f>SUM('2020 detail'!J464:U464)+'2020 detail'!AA464+'2020 detail'!AB464</f>
        <v>0</v>
      </c>
      <c r="AJ464" s="23">
        <f t="shared" si="98"/>
        <v>0</v>
      </c>
      <c r="AL464" t="str">
        <f t="shared" si="99"/>
        <v>Same</v>
      </c>
    </row>
    <row r="465" spans="1:43" x14ac:dyDescent="0.2">
      <c r="A465" s="144" t="s">
        <v>349</v>
      </c>
      <c r="B465" s="9" t="s">
        <v>495</v>
      </c>
      <c r="C465" s="9" t="s">
        <v>495</v>
      </c>
      <c r="D465" s="9" t="s">
        <v>495</v>
      </c>
      <c r="E465" s="9"/>
      <c r="F465" s="9" t="s">
        <v>495</v>
      </c>
      <c r="G465" s="83">
        <v>26411</v>
      </c>
      <c r="H465" s="83">
        <f t="shared" si="95"/>
        <v>15411</v>
      </c>
      <c r="I465" s="133">
        <f t="shared" si="100"/>
        <v>0.58350000000000002</v>
      </c>
      <c r="J465" s="82">
        <v>1000</v>
      </c>
      <c r="K465" s="82">
        <v>411</v>
      </c>
      <c r="L465" s="82">
        <v>0</v>
      </c>
      <c r="M465" s="82">
        <v>1000</v>
      </c>
      <c r="N465" s="82">
        <v>2000</v>
      </c>
      <c r="O465" s="82"/>
      <c r="P465" s="82">
        <v>1000</v>
      </c>
      <c r="Q465" s="82">
        <v>1000</v>
      </c>
      <c r="R465" s="82">
        <v>2000</v>
      </c>
      <c r="S465" s="23">
        <v>2000</v>
      </c>
      <c r="T465" s="23">
        <v>2000</v>
      </c>
      <c r="U465" s="23">
        <v>3000</v>
      </c>
      <c r="V465" s="79" t="s">
        <v>831</v>
      </c>
      <c r="W465" s="82">
        <f t="shared" si="97"/>
        <v>11000</v>
      </c>
      <c r="Y465" s="4"/>
      <c r="Z465" s="4"/>
      <c r="AA465" s="82">
        <v>0</v>
      </c>
      <c r="AB465" s="82"/>
      <c r="AC465" s="82"/>
      <c r="AD465" s="23"/>
      <c r="AE465" s="7" t="s">
        <v>488</v>
      </c>
      <c r="AH465" s="23">
        <f>SUM('2020 detail'!J465:U465)+'2020 detail'!AA465+'2020 detail'!AB465</f>
        <v>12411</v>
      </c>
      <c r="AJ465" s="23">
        <f t="shared" si="98"/>
        <v>3000</v>
      </c>
      <c r="AL465" t="str">
        <f t="shared" si="99"/>
        <v>Up</v>
      </c>
      <c r="AQ465" s="23">
        <v>3000</v>
      </c>
    </row>
    <row r="466" spans="1:43" x14ac:dyDescent="0.2">
      <c r="A466" s="144" t="s">
        <v>350</v>
      </c>
      <c r="B466" s="9" t="s">
        <v>495</v>
      </c>
      <c r="C466" s="9" t="s">
        <v>495</v>
      </c>
      <c r="D466" s="9">
        <v>0</v>
      </c>
      <c r="E466" s="9"/>
      <c r="F466" s="9">
        <v>0</v>
      </c>
      <c r="G466" s="83">
        <v>84193</v>
      </c>
      <c r="H466" s="83">
        <f t="shared" si="95"/>
        <v>84193</v>
      </c>
      <c r="I466" s="133">
        <f t="shared" si="100"/>
        <v>1</v>
      </c>
      <c r="J466" s="82">
        <v>8593</v>
      </c>
      <c r="K466" s="82">
        <v>8400</v>
      </c>
      <c r="L466" s="82">
        <v>8400</v>
      </c>
      <c r="M466" s="82">
        <v>8400</v>
      </c>
      <c r="N466" s="82">
        <v>8400</v>
      </c>
      <c r="O466" s="82">
        <v>8400</v>
      </c>
      <c r="P466" s="82">
        <v>8400</v>
      </c>
      <c r="Q466" s="82">
        <v>8400</v>
      </c>
      <c r="R466" s="82">
        <v>8400</v>
      </c>
      <c r="S466" s="23">
        <v>8400</v>
      </c>
      <c r="T466" s="23"/>
      <c r="U466" s="23"/>
      <c r="V466" s="79" t="s">
        <v>832</v>
      </c>
      <c r="W466" s="82">
        <f t="shared" si="97"/>
        <v>0</v>
      </c>
      <c r="Y466" s="4"/>
      <c r="Z466" s="4"/>
      <c r="AA466" s="82">
        <v>0</v>
      </c>
      <c r="AB466" s="82"/>
      <c r="AC466" s="82"/>
      <c r="AD466" s="23"/>
      <c r="AE466" s="7" t="s">
        <v>997</v>
      </c>
      <c r="AH466" s="23">
        <f>SUM('2020 detail'!J466:U466)+'2020 detail'!AA466+'2020 detail'!AB466</f>
        <v>84193</v>
      </c>
      <c r="AJ466" s="23">
        <f t="shared" si="98"/>
        <v>0</v>
      </c>
      <c r="AL466" t="str">
        <f t="shared" si="99"/>
        <v>Same</v>
      </c>
    </row>
    <row r="467" spans="1:43" x14ac:dyDescent="0.2">
      <c r="A467" s="144" t="s">
        <v>351</v>
      </c>
      <c r="B467" s="9">
        <v>0</v>
      </c>
      <c r="C467" s="9" t="s">
        <v>495</v>
      </c>
      <c r="D467" s="9">
        <v>0</v>
      </c>
      <c r="E467" s="9"/>
      <c r="F467" s="9">
        <v>0</v>
      </c>
      <c r="G467" s="83">
        <v>15876</v>
      </c>
      <c r="H467" s="83">
        <f t="shared" si="95"/>
        <v>15876</v>
      </c>
      <c r="I467" s="133">
        <f t="shared" si="100"/>
        <v>1</v>
      </c>
      <c r="J467" s="82">
        <v>0</v>
      </c>
      <c r="K467" s="82">
        <v>1323</v>
      </c>
      <c r="L467" s="82">
        <v>1323</v>
      </c>
      <c r="M467" s="82">
        <v>1323</v>
      </c>
      <c r="N467" s="82">
        <v>1323</v>
      </c>
      <c r="O467" s="82">
        <v>1323</v>
      </c>
      <c r="P467" s="82">
        <v>1323</v>
      </c>
      <c r="Q467" s="82">
        <v>1323</v>
      </c>
      <c r="R467" s="82">
        <v>1323</v>
      </c>
      <c r="S467" s="23">
        <v>1323</v>
      </c>
      <c r="T467" s="23">
        <v>1323</v>
      </c>
      <c r="U467" s="23">
        <v>2646</v>
      </c>
      <c r="V467" s="79" t="s">
        <v>833</v>
      </c>
      <c r="W467" s="82">
        <f t="shared" si="97"/>
        <v>0</v>
      </c>
      <c r="Y467" s="4"/>
      <c r="Z467" s="4"/>
      <c r="AA467" s="82">
        <v>0</v>
      </c>
      <c r="AB467" s="82"/>
      <c r="AC467" s="82"/>
      <c r="AD467" s="23"/>
      <c r="AE467" s="7" t="s">
        <v>483</v>
      </c>
      <c r="AH467" s="23">
        <f>SUM('2020 detail'!J467:U467)+'2020 detail'!AA467+'2020 detail'!AB467</f>
        <v>15876</v>
      </c>
      <c r="AJ467" s="23">
        <f t="shared" si="98"/>
        <v>0</v>
      </c>
      <c r="AL467" t="str">
        <f t="shared" si="99"/>
        <v>Same</v>
      </c>
      <c r="AQ467" s="23">
        <v>2646</v>
      </c>
    </row>
    <row r="468" spans="1:43" x14ac:dyDescent="0.2">
      <c r="A468" s="144" t="s">
        <v>352</v>
      </c>
      <c r="B468" s="9" t="s">
        <v>495</v>
      </c>
      <c r="C468" s="9" t="s">
        <v>495</v>
      </c>
      <c r="D468" s="9">
        <v>0</v>
      </c>
      <c r="E468" s="9"/>
      <c r="F468" s="9">
        <v>0</v>
      </c>
      <c r="G468" s="83">
        <v>16440</v>
      </c>
      <c r="H468" s="83">
        <f t="shared" si="95"/>
        <v>3000</v>
      </c>
      <c r="I468" s="133">
        <f t="shared" si="100"/>
        <v>0.1825</v>
      </c>
      <c r="J468" s="82">
        <v>0</v>
      </c>
      <c r="K468" s="82"/>
      <c r="L468" s="82"/>
      <c r="M468" s="82"/>
      <c r="N468" s="82"/>
      <c r="O468" s="82"/>
      <c r="P468" s="82"/>
      <c r="Q468" s="82"/>
      <c r="R468" s="82">
        <v>1500</v>
      </c>
      <c r="S468" s="23">
        <v>1500</v>
      </c>
      <c r="T468" s="23"/>
      <c r="U468" s="23"/>
      <c r="V468" s="79" t="s">
        <v>834</v>
      </c>
      <c r="W468" s="82">
        <f t="shared" si="97"/>
        <v>13440</v>
      </c>
      <c r="Y468" s="4"/>
      <c r="Z468" s="4"/>
      <c r="AA468" s="82">
        <v>0</v>
      </c>
      <c r="AB468" s="82"/>
      <c r="AC468" s="82"/>
      <c r="AD468" s="23"/>
      <c r="AE468" s="7" t="s">
        <v>481</v>
      </c>
      <c r="AH468" s="23">
        <f>SUM('2020 detail'!J468:U468)+'2020 detail'!AA468+'2020 detail'!AB468</f>
        <v>16421.25</v>
      </c>
      <c r="AJ468" s="23">
        <f t="shared" si="98"/>
        <v>-13421.25</v>
      </c>
      <c r="AL468" t="str">
        <f t="shared" si="99"/>
        <v>Down</v>
      </c>
    </row>
    <row r="469" spans="1:43" x14ac:dyDescent="0.2">
      <c r="A469" s="144" t="s">
        <v>353</v>
      </c>
      <c r="B469" s="9" t="s">
        <v>495</v>
      </c>
      <c r="C469" s="9" t="s">
        <v>495</v>
      </c>
      <c r="D469" s="9" t="s">
        <v>495</v>
      </c>
      <c r="E469" s="9"/>
      <c r="F469" s="9">
        <v>0</v>
      </c>
      <c r="G469" s="83">
        <v>16440</v>
      </c>
      <c r="H469" s="83">
        <f t="shared" si="95"/>
        <v>8220</v>
      </c>
      <c r="I469" s="133">
        <f t="shared" si="100"/>
        <v>0.5</v>
      </c>
      <c r="J469" s="82">
        <v>0</v>
      </c>
      <c r="K469" s="82"/>
      <c r="L469" s="82"/>
      <c r="M469" s="82">
        <v>1500</v>
      </c>
      <c r="N469" s="82"/>
      <c r="O469" s="82">
        <v>1500</v>
      </c>
      <c r="P469" s="82"/>
      <c r="Q469" s="82"/>
      <c r="R469" s="82">
        <v>2610</v>
      </c>
      <c r="S469" s="23"/>
      <c r="T469" s="23"/>
      <c r="U469" s="23">
        <v>2610</v>
      </c>
      <c r="V469" s="79" t="s">
        <v>835</v>
      </c>
      <c r="W469" s="82">
        <f t="shared" si="97"/>
        <v>8220</v>
      </c>
      <c r="Y469" s="4"/>
      <c r="Z469" s="4"/>
      <c r="AA469" s="82">
        <v>0</v>
      </c>
      <c r="AB469" s="82"/>
      <c r="AC469" s="82"/>
      <c r="AD469" s="23"/>
      <c r="AE469" s="7" t="s">
        <v>481</v>
      </c>
      <c r="AH469" s="23">
        <f>SUM('2020 detail'!J469:U469)+'2020 detail'!AA469+'2020 detail'!AB469</f>
        <v>7400</v>
      </c>
      <c r="AJ469" s="23">
        <f t="shared" si="98"/>
        <v>820</v>
      </c>
      <c r="AL469" t="str">
        <f t="shared" si="99"/>
        <v>Up</v>
      </c>
      <c r="AQ469" s="23">
        <v>2610</v>
      </c>
    </row>
    <row r="470" spans="1:43" x14ac:dyDescent="0.2">
      <c r="A470" s="144" t="s">
        <v>354</v>
      </c>
      <c r="B470" s="9" t="s">
        <v>495</v>
      </c>
      <c r="C470" s="9">
        <v>0</v>
      </c>
      <c r="D470" s="9" t="s">
        <v>495</v>
      </c>
      <c r="E470" s="9"/>
      <c r="F470" s="9">
        <v>0</v>
      </c>
      <c r="G470" s="83">
        <v>20881</v>
      </c>
      <c r="H470" s="83">
        <f t="shared" si="95"/>
        <v>3000</v>
      </c>
      <c r="I470" s="133">
        <f t="shared" si="100"/>
        <v>0.14369999999999999</v>
      </c>
      <c r="J470" s="82">
        <v>0</v>
      </c>
      <c r="K470" s="82">
        <v>250</v>
      </c>
      <c r="L470" s="82">
        <v>500</v>
      </c>
      <c r="M470" s="82">
        <v>250</v>
      </c>
      <c r="N470" s="82"/>
      <c r="O470" s="82">
        <v>500</v>
      </c>
      <c r="P470" s="82">
        <v>250</v>
      </c>
      <c r="Q470" s="82">
        <v>250</v>
      </c>
      <c r="R470" s="82">
        <v>250</v>
      </c>
      <c r="S470" s="23"/>
      <c r="T470" s="23">
        <v>500</v>
      </c>
      <c r="U470" s="23">
        <v>250</v>
      </c>
      <c r="V470" s="79" t="s">
        <v>836</v>
      </c>
      <c r="W470" s="82">
        <f t="shared" si="97"/>
        <v>17881</v>
      </c>
      <c r="Y470" s="4"/>
      <c r="Z470" s="4"/>
      <c r="AA470" s="82">
        <v>0</v>
      </c>
      <c r="AB470" s="82"/>
      <c r="AC470" s="82"/>
      <c r="AD470" s="23"/>
      <c r="AE470" s="7" t="s">
        <v>488</v>
      </c>
      <c r="AH470" s="23">
        <f>SUM('2020 detail'!J470:U470)+'2020 detail'!AA470+'2020 detail'!AB470</f>
        <v>4500</v>
      </c>
      <c r="AJ470" s="23">
        <f t="shared" si="98"/>
        <v>-1500</v>
      </c>
      <c r="AL470" t="str">
        <f t="shared" si="99"/>
        <v>Down</v>
      </c>
      <c r="AQ470" s="23">
        <v>250</v>
      </c>
    </row>
    <row r="471" spans="1:43" x14ac:dyDescent="0.2">
      <c r="A471" s="144" t="s">
        <v>355</v>
      </c>
      <c r="B471" s="9" t="s">
        <v>495</v>
      </c>
      <c r="C471" s="9" t="s">
        <v>495</v>
      </c>
      <c r="D471" s="9" t="s">
        <v>495</v>
      </c>
      <c r="E471" s="9"/>
      <c r="F471" s="9" t="s">
        <v>495</v>
      </c>
      <c r="G471" s="83">
        <v>59729</v>
      </c>
      <c r="H471" s="83">
        <f t="shared" si="95"/>
        <v>39819.279999999999</v>
      </c>
      <c r="I471" s="133">
        <f t="shared" si="100"/>
        <v>0.66669999999999996</v>
      </c>
      <c r="J471" s="82">
        <v>4977.41</v>
      </c>
      <c r="K471" s="82"/>
      <c r="L471" s="82"/>
      <c r="M471" s="82"/>
      <c r="N471" s="82"/>
      <c r="O471" s="82">
        <v>4977.41</v>
      </c>
      <c r="P471" s="82">
        <v>4977.41</v>
      </c>
      <c r="Q471" s="82">
        <v>4977.41</v>
      </c>
      <c r="R471" s="82">
        <v>4977.41</v>
      </c>
      <c r="S471" s="23">
        <v>4977.41</v>
      </c>
      <c r="T471" s="23">
        <v>4977.41</v>
      </c>
      <c r="U471" s="23">
        <v>4977.41</v>
      </c>
      <c r="V471" s="79" t="s">
        <v>837</v>
      </c>
      <c r="W471" s="82">
        <f t="shared" si="97"/>
        <v>19909.72</v>
      </c>
      <c r="Y471" s="4"/>
      <c r="Z471" s="4"/>
      <c r="AA471" s="82">
        <v>0</v>
      </c>
      <c r="AB471" s="82"/>
      <c r="AC471" s="82"/>
      <c r="AD471" s="23"/>
      <c r="AE471" s="7" t="s">
        <v>484</v>
      </c>
      <c r="AH471" s="23">
        <f>SUM('2020 detail'!J471:U471)+'2020 detail'!AA471+'2020 detail'!AB471</f>
        <v>45108.770000000004</v>
      </c>
      <c r="AJ471" s="23">
        <f t="shared" si="98"/>
        <v>-5289.4900000000052</v>
      </c>
      <c r="AL471" t="str">
        <f t="shared" si="99"/>
        <v>Down</v>
      </c>
      <c r="AQ471" s="23">
        <v>4977.41</v>
      </c>
    </row>
    <row r="472" spans="1:43" x14ac:dyDescent="0.2">
      <c r="A472" s="144" t="s">
        <v>356</v>
      </c>
      <c r="B472" s="9" t="s">
        <v>495</v>
      </c>
      <c r="C472" s="9" t="s">
        <v>495</v>
      </c>
      <c r="D472" s="9" t="s">
        <v>495</v>
      </c>
      <c r="E472" s="9"/>
      <c r="F472" s="9">
        <v>0</v>
      </c>
      <c r="G472" s="83">
        <v>10220</v>
      </c>
      <c r="H472" s="83">
        <f t="shared" si="95"/>
        <v>6200</v>
      </c>
      <c r="I472" s="133">
        <f t="shared" si="100"/>
        <v>0.60670000000000002</v>
      </c>
      <c r="J472" s="82">
        <v>0</v>
      </c>
      <c r="K472" s="82"/>
      <c r="L472" s="82"/>
      <c r="M472" s="82"/>
      <c r="N472" s="82"/>
      <c r="O472" s="82">
        <v>500</v>
      </c>
      <c r="P472" s="82">
        <v>500</v>
      </c>
      <c r="Q472" s="82"/>
      <c r="R472" s="82">
        <v>2200</v>
      </c>
      <c r="S472" s="23"/>
      <c r="T472" s="23">
        <v>3000</v>
      </c>
      <c r="U472" s="23"/>
      <c r="V472" s="79" t="s">
        <v>838</v>
      </c>
      <c r="W472" s="82">
        <f t="shared" si="97"/>
        <v>4020</v>
      </c>
      <c r="Y472" s="4"/>
      <c r="Z472" s="4"/>
      <c r="AA472" s="82">
        <v>0</v>
      </c>
      <c r="AB472" s="82"/>
      <c r="AC472" s="82"/>
      <c r="AD472" s="23"/>
      <c r="AE472" s="7" t="s">
        <v>481</v>
      </c>
      <c r="AH472" s="23">
        <f>SUM('2020 detail'!J472:U472)+'2020 detail'!AA472+'2020 detail'!AB472</f>
        <v>5000</v>
      </c>
      <c r="AJ472" s="23">
        <f t="shared" si="98"/>
        <v>1200</v>
      </c>
      <c r="AL472" t="str">
        <f t="shared" si="99"/>
        <v>Up</v>
      </c>
    </row>
    <row r="473" spans="1:43" x14ac:dyDescent="0.2">
      <c r="A473" s="144" t="s">
        <v>357</v>
      </c>
      <c r="B473" s="9" t="s">
        <v>495</v>
      </c>
      <c r="C473" s="9" t="s">
        <v>495</v>
      </c>
      <c r="D473" s="9">
        <v>0</v>
      </c>
      <c r="E473" s="9"/>
      <c r="F473" s="9" t="s">
        <v>495</v>
      </c>
      <c r="G473" s="83">
        <v>18420</v>
      </c>
      <c r="H473" s="83">
        <f t="shared" si="95"/>
        <v>16420</v>
      </c>
      <c r="I473" s="133">
        <f t="shared" si="100"/>
        <v>0.89139999999999997</v>
      </c>
      <c r="J473" s="82">
        <v>700</v>
      </c>
      <c r="K473" s="82">
        <v>700</v>
      </c>
      <c r="L473" s="82">
        <v>700</v>
      </c>
      <c r="M473" s="82">
        <v>700</v>
      </c>
      <c r="N473" s="82">
        <v>700</v>
      </c>
      <c r="O473" s="82">
        <v>700</v>
      </c>
      <c r="P473" s="82">
        <v>1700</v>
      </c>
      <c r="Q473" s="82">
        <v>700</v>
      </c>
      <c r="R473" s="82">
        <v>700</v>
      </c>
      <c r="S473" s="23">
        <v>3200</v>
      </c>
      <c r="T473" s="23">
        <v>700</v>
      </c>
      <c r="U473" s="23">
        <v>5220</v>
      </c>
      <c r="V473" s="79" t="s">
        <v>839</v>
      </c>
      <c r="W473" s="82">
        <f t="shared" si="97"/>
        <v>2000</v>
      </c>
      <c r="Y473" s="4"/>
      <c r="Z473" s="4"/>
      <c r="AA473" s="82">
        <v>0</v>
      </c>
      <c r="AB473" s="82"/>
      <c r="AC473" s="82"/>
      <c r="AD473" s="23"/>
      <c r="AE473" s="7" t="s">
        <v>481</v>
      </c>
      <c r="AH473" s="23">
        <f>SUM('2020 detail'!J473:U473)+'2020 detail'!AA473+'2020 detail'!AB473</f>
        <v>16420</v>
      </c>
      <c r="AJ473" s="23">
        <f t="shared" si="98"/>
        <v>0</v>
      </c>
      <c r="AL473" t="str">
        <f t="shared" si="99"/>
        <v>Same</v>
      </c>
      <c r="AQ473" s="23">
        <v>5220</v>
      </c>
    </row>
    <row r="474" spans="1:43" x14ac:dyDescent="0.2">
      <c r="A474" s="144" t="s">
        <v>358</v>
      </c>
      <c r="B474" s="9" t="s">
        <v>495</v>
      </c>
      <c r="C474" s="9" t="s">
        <v>495</v>
      </c>
      <c r="D474" s="9" t="s">
        <v>495</v>
      </c>
      <c r="E474" s="9"/>
      <c r="F474" s="9" t="s">
        <v>495</v>
      </c>
      <c r="G474" s="83">
        <v>72321</v>
      </c>
      <c r="H474" s="83">
        <f t="shared" si="95"/>
        <v>72321</v>
      </c>
      <c r="I474" s="133">
        <f t="shared" si="100"/>
        <v>1</v>
      </c>
      <c r="J474" s="82">
        <v>3000</v>
      </c>
      <c r="K474" s="82">
        <v>3000</v>
      </c>
      <c r="L474" s="82">
        <v>3000</v>
      </c>
      <c r="M474" s="82">
        <v>13000</v>
      </c>
      <c r="N474" s="82">
        <v>3000</v>
      </c>
      <c r="O474" s="82">
        <v>3000</v>
      </c>
      <c r="P474" s="82">
        <v>13000</v>
      </c>
      <c r="Q474" s="82">
        <v>3000</v>
      </c>
      <c r="R474" s="82">
        <v>3000</v>
      </c>
      <c r="S474" s="23">
        <v>3000</v>
      </c>
      <c r="T474" s="23">
        <v>13000</v>
      </c>
      <c r="U474" s="23">
        <v>9321</v>
      </c>
      <c r="V474" s="79" t="s">
        <v>840</v>
      </c>
      <c r="W474" s="82">
        <f t="shared" si="97"/>
        <v>0</v>
      </c>
      <c r="Y474" s="4"/>
      <c r="Z474" s="4"/>
      <c r="AA474" s="82">
        <v>0</v>
      </c>
      <c r="AB474" s="82"/>
      <c r="AC474" s="82"/>
      <c r="AD474" s="23"/>
      <c r="AE474" s="7" t="s">
        <v>489</v>
      </c>
      <c r="AH474" s="23">
        <f>SUM('2020 detail'!J474:U474)+'2020 detail'!AA474+'2020 detail'!AB474</f>
        <v>61000</v>
      </c>
      <c r="AJ474" s="23">
        <f t="shared" si="98"/>
        <v>11321</v>
      </c>
      <c r="AL474" t="str">
        <f t="shared" si="99"/>
        <v>Up</v>
      </c>
      <c r="AQ474" s="23">
        <v>9321</v>
      </c>
    </row>
    <row r="475" spans="1:43" x14ac:dyDescent="0.2">
      <c r="A475" s="144" t="s">
        <v>359</v>
      </c>
      <c r="B475" s="9" t="s">
        <v>495</v>
      </c>
      <c r="C475" s="9" t="s">
        <v>495</v>
      </c>
      <c r="D475" s="9" t="s">
        <v>495</v>
      </c>
      <c r="E475" s="9"/>
      <c r="F475" s="9">
        <v>0</v>
      </c>
      <c r="G475" s="83">
        <v>18482</v>
      </c>
      <c r="H475" s="83">
        <f t="shared" si="95"/>
        <v>18485</v>
      </c>
      <c r="I475" s="133">
        <f t="shared" si="100"/>
        <v>1.0002</v>
      </c>
      <c r="J475" s="82">
        <v>1542</v>
      </c>
      <c r="K475" s="82">
        <v>1540</v>
      </c>
      <c r="L475" s="82">
        <v>1540</v>
      </c>
      <c r="M475" s="82">
        <v>1540</v>
      </c>
      <c r="N475" s="82">
        <v>1540</v>
      </c>
      <c r="O475" s="82">
        <v>1540</v>
      </c>
      <c r="P475" s="82">
        <v>1540</v>
      </c>
      <c r="Q475" s="82">
        <v>1540</v>
      </c>
      <c r="R475" s="82">
        <v>1540</v>
      </c>
      <c r="S475" s="23">
        <v>1540</v>
      </c>
      <c r="T475" s="23">
        <v>1540</v>
      </c>
      <c r="U475" s="23"/>
      <c r="V475" s="79" t="s">
        <v>841</v>
      </c>
      <c r="W475" s="82">
        <f t="shared" si="97"/>
        <v>-3</v>
      </c>
      <c r="Y475" s="4"/>
      <c r="Z475" s="4"/>
      <c r="AA475" s="82">
        <v>1543</v>
      </c>
      <c r="AB475" s="82"/>
      <c r="AC475" s="82"/>
      <c r="AD475" s="23"/>
      <c r="AE475" s="7" t="s">
        <v>482</v>
      </c>
      <c r="AH475" s="23">
        <f>SUM('2020 detail'!J475:U475)+'2020 detail'!AA475+'2020 detail'!AB475</f>
        <v>18482</v>
      </c>
      <c r="AJ475" s="23">
        <f t="shared" si="98"/>
        <v>3</v>
      </c>
      <c r="AL475" t="str">
        <f t="shared" si="99"/>
        <v>Up</v>
      </c>
    </row>
    <row r="476" spans="1:43" x14ac:dyDescent="0.2">
      <c r="A476" s="144" t="s">
        <v>360</v>
      </c>
      <c r="B476" s="9" t="s">
        <v>495</v>
      </c>
      <c r="C476" s="9" t="s">
        <v>495</v>
      </c>
      <c r="D476" s="9" t="s">
        <v>495</v>
      </c>
      <c r="E476" s="9"/>
      <c r="F476" s="9">
        <v>0</v>
      </c>
      <c r="G476" s="83">
        <v>22717</v>
      </c>
      <c r="H476" s="83">
        <f t="shared" si="95"/>
        <v>17250</v>
      </c>
      <c r="I476" s="133">
        <f t="shared" si="100"/>
        <v>0.75929999999999997</v>
      </c>
      <c r="J476" s="82">
        <v>0</v>
      </c>
      <c r="K476" s="82"/>
      <c r="L476" s="82">
        <v>1000</v>
      </c>
      <c r="M476" s="82">
        <v>1000</v>
      </c>
      <c r="N476" s="82"/>
      <c r="O476" s="82">
        <v>2000</v>
      </c>
      <c r="P476" s="82">
        <v>1500</v>
      </c>
      <c r="Q476" s="82">
        <v>4000</v>
      </c>
      <c r="R476" s="82">
        <v>1000</v>
      </c>
      <c r="S476" s="23">
        <v>5500</v>
      </c>
      <c r="T476" s="23">
        <v>1250</v>
      </c>
      <c r="U476" s="23"/>
      <c r="V476" s="79" t="s">
        <v>842</v>
      </c>
      <c r="W476" s="82">
        <f t="shared" si="97"/>
        <v>5467</v>
      </c>
      <c r="Y476" s="4"/>
      <c r="Z476" s="4"/>
      <c r="AA476" s="82">
        <v>0</v>
      </c>
      <c r="AB476" s="82"/>
      <c r="AC476" s="82"/>
      <c r="AD476" s="23"/>
      <c r="AE476" s="7" t="s">
        <v>490</v>
      </c>
      <c r="AH476" s="23">
        <f>SUM('2020 detail'!J476:U476)+'2020 detail'!AA476+'2020 detail'!AB476</f>
        <v>16750</v>
      </c>
      <c r="AJ476" s="23">
        <f t="shared" si="98"/>
        <v>500</v>
      </c>
      <c r="AL476" t="str">
        <f t="shared" si="99"/>
        <v>Up</v>
      </c>
    </row>
    <row r="477" spans="1:43" x14ac:dyDescent="0.2">
      <c r="A477" s="144" t="s">
        <v>361</v>
      </c>
      <c r="B477" s="9" t="s">
        <v>495</v>
      </c>
      <c r="C477" s="9" t="s">
        <v>495</v>
      </c>
      <c r="D477" s="9">
        <v>0</v>
      </c>
      <c r="E477" s="9"/>
      <c r="F477" s="9" t="s">
        <v>495</v>
      </c>
      <c r="G477" s="83">
        <v>52620</v>
      </c>
      <c r="H477" s="83">
        <f t="shared" si="95"/>
        <v>52620</v>
      </c>
      <c r="I477" s="133">
        <f t="shared" si="100"/>
        <v>1</v>
      </c>
      <c r="J477" s="82">
        <v>2885</v>
      </c>
      <c r="K477" s="82">
        <v>2885</v>
      </c>
      <c r="L477" s="82">
        <v>2885</v>
      </c>
      <c r="M477" s="82">
        <v>2885</v>
      </c>
      <c r="N477" s="82">
        <v>2885</v>
      </c>
      <c r="O477" s="82">
        <v>2885</v>
      </c>
      <c r="P477" s="82">
        <v>22885</v>
      </c>
      <c r="Q477" s="82">
        <v>2485</v>
      </c>
      <c r="R477" s="82">
        <v>2485</v>
      </c>
      <c r="S477" s="23">
        <v>2485</v>
      </c>
      <c r="T477" s="23">
        <v>2485</v>
      </c>
      <c r="U477" s="23">
        <v>2485</v>
      </c>
      <c r="V477" s="79" t="s">
        <v>843</v>
      </c>
      <c r="W477" s="82">
        <f t="shared" si="97"/>
        <v>0</v>
      </c>
      <c r="Y477" s="4"/>
      <c r="Z477" s="4"/>
      <c r="AA477" s="82">
        <v>0</v>
      </c>
      <c r="AB477" s="82"/>
      <c r="AC477" s="82"/>
      <c r="AD477" s="23"/>
      <c r="AE477" s="7" t="s">
        <v>485</v>
      </c>
      <c r="AH477" s="23">
        <f>SUM('2020 detail'!J477:U477)+'2020 detail'!AA477+'2020 detail'!AB477</f>
        <v>52620</v>
      </c>
      <c r="AJ477" s="23">
        <f t="shared" si="98"/>
        <v>0</v>
      </c>
      <c r="AL477" t="str">
        <f t="shared" si="99"/>
        <v>Same</v>
      </c>
      <c r="AQ477" s="23">
        <v>2485</v>
      </c>
    </row>
    <row r="478" spans="1:43" x14ac:dyDescent="0.2">
      <c r="A478" s="144" t="s">
        <v>362</v>
      </c>
      <c r="B478" s="9" t="s">
        <v>495</v>
      </c>
      <c r="C478" s="9" t="s">
        <v>495</v>
      </c>
      <c r="D478" s="9" t="s">
        <v>495</v>
      </c>
      <c r="E478" s="9"/>
      <c r="F478" s="9" t="s">
        <v>495</v>
      </c>
      <c r="G478" s="83">
        <v>24665</v>
      </c>
      <c r="H478" s="83">
        <f t="shared" si="95"/>
        <v>14000</v>
      </c>
      <c r="I478" s="133">
        <f t="shared" si="100"/>
        <v>0.56759999999999999</v>
      </c>
      <c r="J478" s="82">
        <v>1500</v>
      </c>
      <c r="K478" s="82">
        <v>1500</v>
      </c>
      <c r="L478" s="82">
        <v>1500</v>
      </c>
      <c r="M478" s="82">
        <v>0</v>
      </c>
      <c r="N478" s="82">
        <v>0</v>
      </c>
      <c r="O478" s="82"/>
      <c r="P478" s="82"/>
      <c r="Q478" s="82"/>
      <c r="R478" s="82"/>
      <c r="S478" s="23">
        <v>7000</v>
      </c>
      <c r="T478" s="23">
        <v>2500</v>
      </c>
      <c r="U478" s="23"/>
      <c r="V478" s="79" t="s">
        <v>844</v>
      </c>
      <c r="W478" s="82">
        <f t="shared" si="97"/>
        <v>10665</v>
      </c>
      <c r="Y478" s="4"/>
      <c r="Z478" s="4"/>
      <c r="AA478" s="82">
        <v>0</v>
      </c>
      <c r="AB478" s="82"/>
      <c r="AC478" s="82"/>
      <c r="AD478" s="23"/>
      <c r="AE478" s="7" t="s">
        <v>491</v>
      </c>
      <c r="AH478" s="23">
        <f>SUM('2020 detail'!J478:U478)+'2020 detail'!AA478+'2020 detail'!AB478</f>
        <v>13500</v>
      </c>
      <c r="AJ478" s="23">
        <f t="shared" si="98"/>
        <v>500</v>
      </c>
      <c r="AL478" t="str">
        <f t="shared" si="99"/>
        <v>Up</v>
      </c>
    </row>
    <row r="479" spans="1:43" x14ac:dyDescent="0.2">
      <c r="A479" s="144" t="s">
        <v>363</v>
      </c>
      <c r="B479" s="9" t="s">
        <v>495</v>
      </c>
      <c r="C479" s="9" t="s">
        <v>495</v>
      </c>
      <c r="D479" s="9" t="s">
        <v>495</v>
      </c>
      <c r="E479" s="9"/>
      <c r="F479" s="9" t="s">
        <v>495</v>
      </c>
      <c r="G479" s="83">
        <v>47703</v>
      </c>
      <c r="H479" s="83">
        <f t="shared" si="95"/>
        <v>47703</v>
      </c>
      <c r="I479" s="133">
        <f t="shared" si="100"/>
        <v>1</v>
      </c>
      <c r="J479" s="82">
        <v>3975.25</v>
      </c>
      <c r="K479" s="82">
        <v>3975.25</v>
      </c>
      <c r="L479" s="82">
        <v>3975.25</v>
      </c>
      <c r="M479" s="82">
        <v>3975.25</v>
      </c>
      <c r="N479" s="82">
        <v>3975.25</v>
      </c>
      <c r="O479" s="82">
        <v>3975.25</v>
      </c>
      <c r="P479" s="82">
        <v>3975.25</v>
      </c>
      <c r="Q479" s="82">
        <v>3975.25</v>
      </c>
      <c r="R479" s="82">
        <v>3975.25</v>
      </c>
      <c r="S479" s="23">
        <v>3975.25</v>
      </c>
      <c r="T479" s="23">
        <v>3975.25</v>
      </c>
      <c r="U479" s="23">
        <v>3975.25</v>
      </c>
      <c r="V479" s="79" t="s">
        <v>845</v>
      </c>
      <c r="W479" s="82">
        <f t="shared" si="97"/>
        <v>0</v>
      </c>
      <c r="Y479" s="4"/>
      <c r="Z479" s="4"/>
      <c r="AA479" s="82">
        <v>0</v>
      </c>
      <c r="AB479" s="82"/>
      <c r="AC479" s="82"/>
      <c r="AD479" s="23"/>
      <c r="AE479" s="7" t="s">
        <v>492</v>
      </c>
      <c r="AH479" s="23">
        <f>SUM('2020 detail'!J479:U479)+'2020 detail'!AA479+'2020 detail'!AB479</f>
        <v>47703</v>
      </c>
      <c r="AJ479" s="23">
        <f t="shared" si="98"/>
        <v>0</v>
      </c>
      <c r="AL479" t="str">
        <f t="shared" si="99"/>
        <v>Same</v>
      </c>
      <c r="AQ479" s="23">
        <v>3975.25</v>
      </c>
    </row>
    <row r="480" spans="1:43" x14ac:dyDescent="0.2">
      <c r="A480" s="144" t="s">
        <v>364</v>
      </c>
      <c r="B480" s="9" t="s">
        <v>495</v>
      </c>
      <c r="C480" s="9" t="s">
        <v>495</v>
      </c>
      <c r="D480" s="9" t="s">
        <v>495</v>
      </c>
      <c r="E480" s="9"/>
      <c r="F480" s="9">
        <v>0</v>
      </c>
      <c r="G480" s="83">
        <v>67268</v>
      </c>
      <c r="H480" s="83">
        <f t="shared" si="95"/>
        <v>67268</v>
      </c>
      <c r="I480" s="133">
        <f t="shared" si="100"/>
        <v>1</v>
      </c>
      <c r="J480" s="82">
        <v>0</v>
      </c>
      <c r="K480" s="82">
        <v>312</v>
      </c>
      <c r="L480" s="82">
        <v>20000</v>
      </c>
      <c r="M480" s="82"/>
      <c r="N480" s="82"/>
      <c r="O480" s="82"/>
      <c r="P480" s="82">
        <v>20000</v>
      </c>
      <c r="Q480" s="82"/>
      <c r="R480" s="82"/>
      <c r="S480" s="23"/>
      <c r="T480" s="23">
        <v>23893</v>
      </c>
      <c r="U480" s="23"/>
      <c r="V480" s="79" t="s">
        <v>846</v>
      </c>
      <c r="W480" s="82">
        <f t="shared" si="97"/>
        <v>0</v>
      </c>
      <c r="Y480" s="4"/>
      <c r="Z480" s="4"/>
      <c r="AA480" s="82">
        <v>3063</v>
      </c>
      <c r="AB480" s="82"/>
      <c r="AC480" s="82"/>
      <c r="AD480" s="23"/>
      <c r="AE480" s="7" t="s">
        <v>486</v>
      </c>
      <c r="AH480" s="23">
        <f>SUM('2020 detail'!J480:U480)+'2020 detail'!AA480+'2020 detail'!AB480</f>
        <v>67268</v>
      </c>
      <c r="AJ480" s="23">
        <f t="shared" si="98"/>
        <v>0</v>
      </c>
      <c r="AL480" t="str">
        <f t="shared" si="99"/>
        <v>Same</v>
      </c>
    </row>
    <row r="481" spans="1:43" x14ac:dyDescent="0.2">
      <c r="A481" s="144" t="s">
        <v>365</v>
      </c>
      <c r="B481" s="9" t="s">
        <v>495</v>
      </c>
      <c r="C481" s="9" t="s">
        <v>495</v>
      </c>
      <c r="D481" s="9">
        <v>0</v>
      </c>
      <c r="E481" s="9"/>
      <c r="F481" s="9" t="s">
        <v>495</v>
      </c>
      <c r="G481" s="83">
        <v>25385</v>
      </c>
      <c r="H481" s="83">
        <f t="shared" si="95"/>
        <v>28080</v>
      </c>
      <c r="I481" s="133">
        <f t="shared" si="100"/>
        <v>1.1062000000000001</v>
      </c>
      <c r="J481" s="82">
        <v>0</v>
      </c>
      <c r="K481" s="82">
        <v>2340</v>
      </c>
      <c r="L481" s="82"/>
      <c r="M481" s="82"/>
      <c r="N481" s="82"/>
      <c r="O481" s="82">
        <v>2340</v>
      </c>
      <c r="P481" s="82">
        <v>2340</v>
      </c>
      <c r="Q481" s="82">
        <v>7020</v>
      </c>
      <c r="R481" s="82">
        <v>4680</v>
      </c>
      <c r="S481" s="23">
        <v>4680</v>
      </c>
      <c r="T481" s="23">
        <v>2340</v>
      </c>
      <c r="U481" s="23">
        <v>2340</v>
      </c>
      <c r="V481" s="79" t="s">
        <v>847</v>
      </c>
      <c r="W481" s="82">
        <f t="shared" si="97"/>
        <v>-2695</v>
      </c>
      <c r="Y481" s="4"/>
      <c r="Z481" s="4"/>
      <c r="AA481" s="82">
        <v>0</v>
      </c>
      <c r="AB481" s="82"/>
      <c r="AC481" s="82"/>
      <c r="AD481" s="23"/>
      <c r="AE481" s="7" t="s">
        <v>493</v>
      </c>
      <c r="AH481" s="23">
        <f>SUM('2020 detail'!J481:U481)+'2020 detail'!AA481+'2020 detail'!AB481</f>
        <v>26750.000000000004</v>
      </c>
      <c r="AJ481" s="23">
        <f t="shared" si="98"/>
        <v>1329.9999999999964</v>
      </c>
      <c r="AL481" t="str">
        <f t="shared" si="99"/>
        <v>Up</v>
      </c>
      <c r="AQ481" s="23">
        <v>2340</v>
      </c>
    </row>
    <row r="482" spans="1:43" x14ac:dyDescent="0.2">
      <c r="A482" s="144" t="s">
        <v>366</v>
      </c>
      <c r="B482" s="9" t="s">
        <v>495</v>
      </c>
      <c r="C482" s="9">
        <v>0</v>
      </c>
      <c r="D482" s="9" t="s">
        <v>495</v>
      </c>
      <c r="E482" s="9"/>
      <c r="F482" s="9">
        <v>0</v>
      </c>
      <c r="G482" s="83">
        <v>148596</v>
      </c>
      <c r="H482" s="83">
        <f t="shared" si="95"/>
        <v>148596</v>
      </c>
      <c r="I482" s="133">
        <f t="shared" si="100"/>
        <v>1</v>
      </c>
      <c r="J482" s="82">
        <v>0</v>
      </c>
      <c r="K482" s="82">
        <v>10000</v>
      </c>
      <c r="L482" s="82"/>
      <c r="M482" s="82">
        <v>15000</v>
      </c>
      <c r="N482" s="82">
        <v>30000</v>
      </c>
      <c r="O482" s="82">
        <v>15000</v>
      </c>
      <c r="P482" s="82">
        <v>15000</v>
      </c>
      <c r="Q482" s="82"/>
      <c r="R482" s="82"/>
      <c r="S482" s="23">
        <v>30000</v>
      </c>
      <c r="T482" s="23">
        <v>15000</v>
      </c>
      <c r="U482" s="23">
        <v>17996</v>
      </c>
      <c r="V482" s="79" t="s">
        <v>848</v>
      </c>
      <c r="W482" s="82">
        <f t="shared" si="97"/>
        <v>0</v>
      </c>
      <c r="Y482" s="4"/>
      <c r="Z482" s="4"/>
      <c r="AA482" s="82">
        <v>0</v>
      </c>
      <c r="AB482" s="82">
        <v>600</v>
      </c>
      <c r="AC482" s="82"/>
      <c r="AD482" s="23"/>
      <c r="AE482" s="7" t="s">
        <v>487</v>
      </c>
      <c r="AH482" s="23">
        <f>SUM('2020 detail'!J482:U482)+'2020 detail'!AA482+'2020 detail'!AB482</f>
        <v>148596</v>
      </c>
      <c r="AJ482" s="23">
        <f t="shared" si="98"/>
        <v>0</v>
      </c>
      <c r="AL482" t="str">
        <f t="shared" si="99"/>
        <v>Same</v>
      </c>
      <c r="AQ482" s="23">
        <v>17996</v>
      </c>
    </row>
    <row r="483" spans="1:43" x14ac:dyDescent="0.2">
      <c r="A483" s="144" t="s">
        <v>367</v>
      </c>
      <c r="B483" s="9" t="s">
        <v>495</v>
      </c>
      <c r="C483" s="9" t="s">
        <v>495</v>
      </c>
      <c r="D483" s="9">
        <v>0</v>
      </c>
      <c r="E483" s="9"/>
      <c r="F483" s="9" t="s">
        <v>495</v>
      </c>
      <c r="G483" s="83">
        <v>28785</v>
      </c>
      <c r="H483" s="83">
        <f t="shared" si="95"/>
        <v>28785</v>
      </c>
      <c r="I483" s="133">
        <f t="shared" si="100"/>
        <v>1</v>
      </c>
      <c r="J483" s="82">
        <v>2398.75</v>
      </c>
      <c r="K483" s="82">
        <v>2398.75</v>
      </c>
      <c r="L483" s="82">
        <v>2398.75</v>
      </c>
      <c r="M483" s="82">
        <v>2398.75</v>
      </c>
      <c r="N483" s="82">
        <v>2398.75</v>
      </c>
      <c r="O483" s="82">
        <v>2398.75</v>
      </c>
      <c r="P483" s="82">
        <v>10000</v>
      </c>
      <c r="Q483" s="82">
        <v>878.5</v>
      </c>
      <c r="R483" s="82">
        <v>878.5</v>
      </c>
      <c r="S483" s="23">
        <v>878.5</v>
      </c>
      <c r="T483" s="23">
        <v>878.5</v>
      </c>
      <c r="U483" s="23">
        <v>878.5</v>
      </c>
      <c r="V483" s="79" t="s">
        <v>849</v>
      </c>
      <c r="W483" s="82">
        <f t="shared" si="97"/>
        <v>0</v>
      </c>
      <c r="Y483" s="4"/>
      <c r="Z483" s="4"/>
      <c r="AA483" s="82">
        <v>0</v>
      </c>
      <c r="AB483" s="82"/>
      <c r="AC483" s="82"/>
      <c r="AD483" s="23"/>
      <c r="AE483" s="7" t="s">
        <v>494</v>
      </c>
      <c r="AH483" s="23">
        <f>SUM('2020 detail'!J483:U483)+'2020 detail'!AA483+'2020 detail'!AB483</f>
        <v>30054</v>
      </c>
      <c r="AJ483" s="23">
        <f t="shared" si="98"/>
        <v>-1269</v>
      </c>
      <c r="AL483" t="str">
        <f t="shared" si="99"/>
        <v>Down</v>
      </c>
      <c r="AQ483" s="23">
        <v>878.5</v>
      </c>
    </row>
    <row r="484" spans="1:43" x14ac:dyDescent="0.2">
      <c r="A484" s="144" t="s">
        <v>368</v>
      </c>
      <c r="B484" s="9">
        <v>0</v>
      </c>
      <c r="C484" s="9" t="s">
        <v>495</v>
      </c>
      <c r="D484" s="9" t="s">
        <v>495</v>
      </c>
      <c r="E484" s="9"/>
      <c r="F484" s="9" t="s">
        <v>495</v>
      </c>
      <c r="G484" s="83">
        <v>12816</v>
      </c>
      <c r="H484" s="83">
        <f t="shared" si="95"/>
        <v>12816</v>
      </c>
      <c r="I484" s="133">
        <f t="shared" si="100"/>
        <v>1</v>
      </c>
      <c r="J484" s="82">
        <v>1068</v>
      </c>
      <c r="K484" s="82">
        <v>1068</v>
      </c>
      <c r="L484" s="82">
        <v>1068</v>
      </c>
      <c r="M484" s="82">
        <v>1068</v>
      </c>
      <c r="N484" s="82">
        <v>1068</v>
      </c>
      <c r="O484" s="82">
        <v>1068</v>
      </c>
      <c r="P484" s="82">
        <v>1068</v>
      </c>
      <c r="Q484" s="82">
        <v>1068</v>
      </c>
      <c r="R484" s="82">
        <v>1068</v>
      </c>
      <c r="S484" s="23">
        <v>1068</v>
      </c>
      <c r="T484" s="23">
        <v>1068</v>
      </c>
      <c r="U484" s="23">
        <v>1068</v>
      </c>
      <c r="V484" s="79" t="s">
        <v>850</v>
      </c>
      <c r="W484" s="82">
        <f t="shared" si="97"/>
        <v>0</v>
      </c>
      <c r="Y484" s="4"/>
      <c r="Z484" s="4"/>
      <c r="AA484" s="82">
        <v>0</v>
      </c>
      <c r="AB484" s="82"/>
      <c r="AC484" s="82"/>
      <c r="AD484" s="23"/>
      <c r="AE484" s="7" t="s">
        <v>494</v>
      </c>
      <c r="AH484" s="23">
        <f>SUM('2020 detail'!J484:U484)+'2020 detail'!AA484+'2020 detail'!AB484</f>
        <v>13305</v>
      </c>
      <c r="AJ484" s="23">
        <f t="shared" si="98"/>
        <v>-489</v>
      </c>
      <c r="AL484" t="str">
        <f t="shared" si="99"/>
        <v>Down</v>
      </c>
      <c r="AQ484" s="23">
        <v>1068</v>
      </c>
    </row>
    <row r="485" spans="1:43" x14ac:dyDescent="0.2">
      <c r="A485" s="144" t="s">
        <v>369</v>
      </c>
      <c r="B485" s="9">
        <v>0</v>
      </c>
      <c r="C485" s="9" t="s">
        <v>495</v>
      </c>
      <c r="D485" s="9">
        <v>0</v>
      </c>
      <c r="E485" s="9"/>
      <c r="F485" s="9">
        <v>0</v>
      </c>
      <c r="G485" s="83">
        <v>6078</v>
      </c>
      <c r="H485" s="83">
        <f t="shared" si="95"/>
        <v>6078</v>
      </c>
      <c r="I485" s="133">
        <f t="shared" si="100"/>
        <v>1</v>
      </c>
      <c r="J485" s="82">
        <v>0</v>
      </c>
      <c r="K485" s="82">
        <v>250</v>
      </c>
      <c r="L485" s="82">
        <v>250</v>
      </c>
      <c r="M485" s="82">
        <v>250</v>
      </c>
      <c r="N485" s="82">
        <v>250</v>
      </c>
      <c r="O485" s="82">
        <v>250</v>
      </c>
      <c r="P485" s="82">
        <v>600</v>
      </c>
      <c r="Q485" s="82">
        <v>600</v>
      </c>
      <c r="R485" s="82">
        <v>600</v>
      </c>
      <c r="S485" s="23">
        <v>600</v>
      </c>
      <c r="T485" s="23">
        <v>600</v>
      </c>
      <c r="U485" s="23">
        <v>1828</v>
      </c>
      <c r="V485" s="79" t="s">
        <v>851</v>
      </c>
      <c r="W485" s="82">
        <f t="shared" si="97"/>
        <v>0</v>
      </c>
      <c r="Y485" s="4"/>
      <c r="Z485" s="4"/>
      <c r="AA485" s="82">
        <v>0</v>
      </c>
      <c r="AB485" s="82"/>
      <c r="AC485" s="82"/>
      <c r="AD485" s="23"/>
      <c r="AE485" s="7" t="s">
        <v>494</v>
      </c>
      <c r="AH485" s="23">
        <f>SUM('2020 detail'!J485:U485)+'2020 detail'!AA485+'2020 detail'!AB485</f>
        <v>4455</v>
      </c>
      <c r="AJ485" s="23">
        <f t="shared" si="98"/>
        <v>1623</v>
      </c>
      <c r="AL485" t="str">
        <f t="shared" si="99"/>
        <v>Up</v>
      </c>
      <c r="AQ485" s="23">
        <v>1828</v>
      </c>
    </row>
    <row r="486" spans="1:43" x14ac:dyDescent="0.2">
      <c r="A486" s="144" t="s">
        <v>370</v>
      </c>
      <c r="B486" s="9" t="s">
        <v>495</v>
      </c>
      <c r="C486" s="9" t="s">
        <v>495</v>
      </c>
      <c r="D486" s="9" t="s">
        <v>495</v>
      </c>
      <c r="E486" s="9"/>
      <c r="F486" s="9">
        <v>0</v>
      </c>
      <c r="G486" s="83">
        <v>25549</v>
      </c>
      <c r="H486" s="83">
        <f t="shared" si="95"/>
        <v>17899</v>
      </c>
      <c r="I486" s="133">
        <f t="shared" si="100"/>
        <v>0.7006</v>
      </c>
      <c r="J486" s="82">
        <v>2000</v>
      </c>
      <c r="K486" s="82">
        <v>1549</v>
      </c>
      <c r="L486" s="82">
        <v>4000</v>
      </c>
      <c r="M486" s="82">
        <v>2000</v>
      </c>
      <c r="N486" s="82"/>
      <c r="O486" s="82">
        <v>2000</v>
      </c>
      <c r="P486" s="82">
        <v>2000</v>
      </c>
      <c r="Q486" s="82"/>
      <c r="R486" s="82"/>
      <c r="S486" s="23">
        <v>2000</v>
      </c>
      <c r="T486" s="23"/>
      <c r="U486" s="23">
        <v>2350</v>
      </c>
      <c r="V486" s="79" t="s">
        <v>852</v>
      </c>
      <c r="W486" s="82">
        <f t="shared" si="97"/>
        <v>7650</v>
      </c>
      <c r="Y486" s="4"/>
      <c r="Z486" s="4"/>
      <c r="AA486" s="82">
        <v>0</v>
      </c>
      <c r="AB486" s="82"/>
      <c r="AC486" s="82"/>
      <c r="AD486" s="23"/>
      <c r="AE486" s="7" t="s">
        <v>488</v>
      </c>
      <c r="AH486" s="23">
        <f>SUM('2020 detail'!J486:U486)+'2020 detail'!AA486+'2020 detail'!AB486</f>
        <v>12563</v>
      </c>
      <c r="AJ486" s="23">
        <f t="shared" si="98"/>
        <v>5336</v>
      </c>
      <c r="AL486" t="str">
        <f t="shared" si="99"/>
        <v>Up</v>
      </c>
      <c r="AQ486" s="23">
        <v>2350</v>
      </c>
    </row>
    <row r="487" spans="1:43" x14ac:dyDescent="0.2">
      <c r="A487" s="144" t="s">
        <v>371</v>
      </c>
      <c r="B487" s="9">
        <v>0</v>
      </c>
      <c r="C487" s="9">
        <v>0</v>
      </c>
      <c r="D487" s="9">
        <v>0</v>
      </c>
      <c r="E487" s="9"/>
      <c r="F487" s="9" t="s">
        <v>638</v>
      </c>
      <c r="G487" s="83">
        <v>17553</v>
      </c>
      <c r="H487" s="83">
        <f t="shared" si="95"/>
        <v>17553</v>
      </c>
      <c r="I487" s="133">
        <f t="shared" si="100"/>
        <v>1</v>
      </c>
      <c r="J487" s="82">
        <v>1462.75</v>
      </c>
      <c r="K487" s="82">
        <v>1462.75</v>
      </c>
      <c r="L487" s="82">
        <v>1462.75</v>
      </c>
      <c r="M487" s="82">
        <v>1462.75</v>
      </c>
      <c r="N487" s="82">
        <v>1462.75</v>
      </c>
      <c r="O487" s="82">
        <v>1462.75</v>
      </c>
      <c r="P487" s="82">
        <v>1462.75</v>
      </c>
      <c r="Q487" s="82"/>
      <c r="R487" s="82">
        <v>-3458.5</v>
      </c>
      <c r="S487" s="23"/>
      <c r="T487" s="23"/>
      <c r="U487" s="23"/>
      <c r="V487" s="79" t="s">
        <v>853</v>
      </c>
      <c r="W487" s="82">
        <f t="shared" si="97"/>
        <v>0</v>
      </c>
      <c r="Y487" s="4"/>
      <c r="Z487" s="4"/>
      <c r="AA487" s="82">
        <v>10772.25</v>
      </c>
      <c r="AB487" s="82"/>
      <c r="AC487" s="82"/>
      <c r="AD487" s="23"/>
      <c r="AE487" s="7" t="s">
        <v>485</v>
      </c>
      <c r="AH487" s="23">
        <f>SUM('2020 detail'!J487:U487)+'2020 detail'!AA487+'2020 detail'!AB487</f>
        <v>17553</v>
      </c>
      <c r="AJ487" s="23">
        <f t="shared" si="98"/>
        <v>0</v>
      </c>
      <c r="AL487" t="str">
        <f t="shared" si="99"/>
        <v>Same</v>
      </c>
    </row>
    <row r="488" spans="1:43" x14ac:dyDescent="0.2">
      <c r="B488" s="9"/>
      <c r="C488" s="9"/>
      <c r="E488" s="9"/>
      <c r="F488" s="9"/>
      <c r="I488" s="133"/>
      <c r="AA488" s="82"/>
      <c r="AB488" s="82"/>
      <c r="AC488" s="82"/>
      <c r="AD488" s="23"/>
      <c r="AJ488" s="23"/>
    </row>
    <row r="489" spans="1:43" x14ac:dyDescent="0.2">
      <c r="A489" s="235" t="s">
        <v>1056</v>
      </c>
      <c r="B489" s="9"/>
      <c r="C489" s="9"/>
      <c r="E489" s="9"/>
      <c r="F489" s="9"/>
      <c r="G489" s="83">
        <f>SUM(G460:G488)</f>
        <v>932398</v>
      </c>
      <c r="H489" s="83">
        <f>SUM(H460:H488)</f>
        <v>832842.78</v>
      </c>
      <c r="I489" s="133">
        <f t="shared" ref="I489:I490" si="101">ROUND((H489/G489),4)</f>
        <v>0.89319999999999999</v>
      </c>
      <c r="J489" s="83">
        <f>SUM(J460:J488)</f>
        <v>38949.279999999999</v>
      </c>
      <c r="K489" s="83">
        <f t="shared" ref="K489:W489" si="102">SUM(K460:K488)</f>
        <v>47211.83</v>
      </c>
      <c r="L489" s="83">
        <f t="shared" si="102"/>
        <v>59849.83</v>
      </c>
      <c r="M489" s="83">
        <f t="shared" si="102"/>
        <v>63187.33</v>
      </c>
      <c r="N489" s="83">
        <f t="shared" si="102"/>
        <v>62849.83</v>
      </c>
      <c r="O489" s="83">
        <f t="shared" si="102"/>
        <v>61667.240000000005</v>
      </c>
      <c r="P489" s="83">
        <f t="shared" si="102"/>
        <v>121368.49</v>
      </c>
      <c r="Q489" s="83">
        <f t="shared" si="102"/>
        <v>45064.24</v>
      </c>
      <c r="R489" s="83">
        <f t="shared" si="102"/>
        <v>47575.740000000005</v>
      </c>
      <c r="S489" s="4">
        <f t="shared" si="102"/>
        <v>87974.24</v>
      </c>
      <c r="T489" s="4">
        <f t="shared" si="102"/>
        <v>102030.24</v>
      </c>
      <c r="U489" s="4">
        <f t="shared" si="102"/>
        <v>79136.240000000005</v>
      </c>
      <c r="V489" s="77"/>
      <c r="W489" s="82">
        <f t="shared" si="102"/>
        <v>99555.22</v>
      </c>
      <c r="Y489" s="4"/>
      <c r="Z489" s="4"/>
      <c r="AA489" s="83">
        <f t="shared" ref="AA489:AC489" si="103">SUM(AA460:AA488)</f>
        <v>15378.25</v>
      </c>
      <c r="AB489" s="83">
        <f t="shared" si="103"/>
        <v>600</v>
      </c>
      <c r="AC489" s="83">
        <f t="shared" si="103"/>
        <v>0</v>
      </c>
      <c r="AD489" s="4"/>
      <c r="AH489" s="23">
        <f>SUM(AH460:AH488)</f>
        <v>830263.46</v>
      </c>
      <c r="AJ489" s="23">
        <f t="shared" si="98"/>
        <v>2579.3200000000652</v>
      </c>
      <c r="AM489" s="11">
        <f>SUM(J489:R489)+SUM(S490:U490)+SUM('2020 detail'!AA488:AC488)</f>
        <v>782696.3600000001</v>
      </c>
      <c r="AN489" s="24">
        <f>ROUND((AM489/G489),4)</f>
        <v>0.83940000000000003</v>
      </c>
      <c r="AO489" s="24">
        <f>ROUND((SUM(J490:U490)/G490),4)</f>
        <v>0.88039999999999996</v>
      </c>
      <c r="AQ489" s="23">
        <f>SUM(AQ460:AQ488)</f>
        <v>79136.240000000005</v>
      </c>
    </row>
    <row r="490" spans="1:43" x14ac:dyDescent="0.2">
      <c r="A490" s="236" t="s">
        <v>1057</v>
      </c>
      <c r="G490" s="206">
        <f>'2020 detail'!G489</f>
        <v>932398</v>
      </c>
      <c r="H490" s="206">
        <f>SUM(J490:AC490)</f>
        <v>830263.45999999985</v>
      </c>
      <c r="I490" s="207">
        <f t="shared" si="101"/>
        <v>0.89049999999999996</v>
      </c>
      <c r="J490" s="206">
        <f>'2020 detail'!J489</f>
        <v>40841.56</v>
      </c>
      <c r="K490" s="206">
        <f>'2020 detail'!K489</f>
        <v>60911.18</v>
      </c>
      <c r="L490" s="206">
        <f>'2020 detail'!L489</f>
        <v>84907.469999999987</v>
      </c>
      <c r="M490" s="206">
        <f>'2020 detail'!M489</f>
        <v>50278.469999999994</v>
      </c>
      <c r="N490" s="206">
        <f>'2020 detail'!N489</f>
        <v>66307.06</v>
      </c>
      <c r="O490" s="206">
        <f>'2020 detail'!O489</f>
        <v>92723.469999999987</v>
      </c>
      <c r="P490" s="206">
        <f>'2020 detail'!P489</f>
        <v>72826.16</v>
      </c>
      <c r="Q490" s="206">
        <f>'2020 detail'!Q489</f>
        <v>49925.16</v>
      </c>
      <c r="R490" s="206">
        <f>'2020 detail'!R489</f>
        <v>67161.45</v>
      </c>
      <c r="S490" s="165">
        <f>'2020 detail'!S489</f>
        <v>60958.45</v>
      </c>
      <c r="T490" s="165">
        <f>'2020 detail'!T489</f>
        <v>90350.1</v>
      </c>
      <c r="U490" s="165">
        <f>'2020 detail'!U489</f>
        <v>83664</v>
      </c>
      <c r="AA490" s="165">
        <f>'2020 detail'!AA489</f>
        <v>6856.48</v>
      </c>
      <c r="AB490" s="165">
        <f>'2020 detail'!AB489</f>
        <v>2552.4499999999998</v>
      </c>
      <c r="AC490" s="165">
        <f>'2020 detail'!AC489</f>
        <v>0</v>
      </c>
    </row>
    <row r="491" spans="1:43" x14ac:dyDescent="0.2">
      <c r="I491" s="133"/>
      <c r="AJ491" s="23"/>
    </row>
    <row r="492" spans="1:43" x14ac:dyDescent="0.2">
      <c r="G492" s="83">
        <f>G39+G81+G119+G157+G212+G255+G290+G316+G345+G391+G450+G489</f>
        <v>8132853</v>
      </c>
      <c r="H492" s="83">
        <f>H39+H81+H119+H157+H212+H255+H290+H316+H345+H391+H450+H489</f>
        <v>6587993.7699999996</v>
      </c>
      <c r="I492" s="133">
        <f t="shared" si="100"/>
        <v>0.81</v>
      </c>
      <c r="J492" s="83">
        <f>J39+J81+J119+J157+J212+J255+J290+J316+J345+J391+J450+J489</f>
        <v>340336.86</v>
      </c>
      <c r="K492" s="83">
        <f t="shared" ref="K492:W493" si="104">K39+K81+K119+K157+K212+K255+K290+K316+K345+K391+K450+K489</f>
        <v>407387.73</v>
      </c>
      <c r="L492" s="83">
        <f t="shared" si="104"/>
        <v>497955.59</v>
      </c>
      <c r="M492" s="83">
        <f t="shared" si="104"/>
        <v>513800.89999999997</v>
      </c>
      <c r="N492" s="83">
        <f t="shared" si="104"/>
        <v>483760.16000000003</v>
      </c>
      <c r="O492" s="83">
        <f t="shared" si="104"/>
        <v>527451.71000000008</v>
      </c>
      <c r="P492" s="83">
        <f t="shared" si="104"/>
        <v>582882.6100000001</v>
      </c>
      <c r="Q492" s="83">
        <f t="shared" si="104"/>
        <v>489302.35</v>
      </c>
      <c r="R492" s="83">
        <f t="shared" si="104"/>
        <v>548459.72</v>
      </c>
      <c r="S492" s="4">
        <f t="shared" si="104"/>
        <v>527708.16999999993</v>
      </c>
      <c r="T492" s="4">
        <f t="shared" si="104"/>
        <v>616975.80999999994</v>
      </c>
      <c r="U492" s="4">
        <f t="shared" si="104"/>
        <v>907302.59</v>
      </c>
      <c r="V492" s="80"/>
      <c r="W492" s="82">
        <f t="shared" si="104"/>
        <v>1544859.23</v>
      </c>
      <c r="Y492" s="4"/>
      <c r="Z492" s="80"/>
      <c r="AA492" s="83">
        <f>AA39+AA81+AA119+AA157+AA212+AA255+AA290+AA316+AA345+AA391+AA450+AA489</f>
        <v>110801.09</v>
      </c>
      <c r="AB492" s="83">
        <f t="shared" ref="AB492:AC492" si="105">AB39+AB81+AB119+AB157+AB212+AB255+AB290+AB316+AB345+AB391+AB450+AB489</f>
        <v>33868.480000000003</v>
      </c>
      <c r="AC492" s="83">
        <f t="shared" si="105"/>
        <v>0</v>
      </c>
      <c r="AD492" s="11"/>
      <c r="AH492" s="23">
        <f>AH39+AH81+AH119+AH157+AH212+AH255+AH290+AH316+AH345+AH391+AH450+AH489</f>
        <v>6652075.25</v>
      </c>
      <c r="AJ492" s="23">
        <f t="shared" si="98"/>
        <v>-64081.480000000447</v>
      </c>
      <c r="AM492" s="23">
        <f>AM39+AM81+AM119+AM157+AM212+AM255+AM290+AM316+AM345+AM391+AM450+AM489</f>
        <v>6362637.8900000006</v>
      </c>
      <c r="AN492" s="24">
        <f>ROUND((AM492/G492),4)</f>
        <v>0.7823</v>
      </c>
      <c r="AO492" s="24">
        <f>ROUND((SUM(J493:U493)/G493),4)</f>
        <v>0.79310000000000003</v>
      </c>
      <c r="AQ492" s="23">
        <f>AQ39+AQ81+AQ119+AQ157+AQ212+AQ255+AQ290+AQ316+AQ345+AQ391+AQ450+AQ489</f>
        <v>906986.78</v>
      </c>
    </row>
    <row r="493" spans="1:43" x14ac:dyDescent="0.2">
      <c r="G493" s="206">
        <f>G40+G82+G120+G158+G213+G256+G291+G317+G346+G392+G451+G490</f>
        <v>8188787.75</v>
      </c>
      <c r="H493" s="206">
        <f>SUM(J493:AC493)</f>
        <v>6663468.3099999996</v>
      </c>
      <c r="I493" s="207">
        <f>ROUND((H493/G493),4)</f>
        <v>0.81369999999999998</v>
      </c>
      <c r="J493" s="206">
        <f>J40+J82+J120+J158+J213+J256+J291+J317+J346+J392+J451+J490</f>
        <v>396856.35</v>
      </c>
      <c r="K493" s="206">
        <f t="shared" si="104"/>
        <v>482698.98</v>
      </c>
      <c r="L493" s="206">
        <f t="shared" si="104"/>
        <v>540363.4800000001</v>
      </c>
      <c r="M493" s="206">
        <f t="shared" si="104"/>
        <v>456663.87999999995</v>
      </c>
      <c r="N493" s="206">
        <f t="shared" si="104"/>
        <v>536149.11</v>
      </c>
      <c r="O493" s="206">
        <f t="shared" si="104"/>
        <v>590746.29999999993</v>
      </c>
      <c r="P493" s="206">
        <f t="shared" si="104"/>
        <v>552321.06000000006</v>
      </c>
      <c r="Q493" s="206">
        <f t="shared" si="104"/>
        <v>496356.39</v>
      </c>
      <c r="R493" s="206">
        <f t="shared" si="104"/>
        <v>494437.81</v>
      </c>
      <c r="S493" s="165">
        <f t="shared" si="104"/>
        <v>565742.23</v>
      </c>
      <c r="T493" s="165">
        <f t="shared" si="104"/>
        <v>618750.92999999993</v>
      </c>
      <c r="U493" s="165">
        <f t="shared" si="104"/>
        <v>763276.25</v>
      </c>
      <c r="AA493" s="165">
        <f t="shared" ref="AA493:AC493" si="106">AA40+AA82+AA120+AA158+AA213+AA256+AA291+AA317+AA346+AA392+AA451+AA490</f>
        <v>98899.03</v>
      </c>
      <c r="AB493" s="165">
        <f t="shared" si="106"/>
        <v>58813.45</v>
      </c>
      <c r="AC493" s="165">
        <f t="shared" si="106"/>
        <v>11393.06</v>
      </c>
      <c r="AM493">
        <f>ROUND((AM492*1.07),2)</f>
        <v>6808022.54</v>
      </c>
    </row>
    <row r="495" spans="1:43" ht="16.5" x14ac:dyDescent="0.25">
      <c r="B495" s="8"/>
      <c r="C495" s="8"/>
      <c r="E495" s="8"/>
      <c r="F495" s="8"/>
      <c r="G495" s="213" t="s">
        <v>1060</v>
      </c>
      <c r="H495" s="83">
        <f>G492-H492</f>
        <v>1544859.2300000004</v>
      </c>
      <c r="AA495" s="15"/>
      <c r="AM495" s="23">
        <f>AM492-G492</f>
        <v>-1770215.1099999994</v>
      </c>
    </row>
    <row r="496" spans="1:43" x14ac:dyDescent="0.2">
      <c r="G496" s="214" t="s">
        <v>1061</v>
      </c>
      <c r="H496" s="83">
        <f>G493-H493</f>
        <v>1525319.4400000004</v>
      </c>
      <c r="J496" s="15"/>
      <c r="AK496" t="s">
        <v>1068</v>
      </c>
      <c r="AL496">
        <f>COUNTIF($AL$8:$AL$487,"Up")</f>
        <v>132</v>
      </c>
    </row>
    <row r="497" spans="1:43" ht="16.5" x14ac:dyDescent="0.25">
      <c r="A497" s="217"/>
      <c r="B497" s="8"/>
      <c r="C497" s="8"/>
      <c r="E497" s="8"/>
      <c r="F497" s="8"/>
      <c r="G497" s="199"/>
      <c r="I497" s="144"/>
      <c r="J497" s="173"/>
      <c r="K497" s="173"/>
      <c r="L497" s="173"/>
      <c r="M497" s="173"/>
      <c r="N497" s="173"/>
      <c r="O497" s="173"/>
      <c r="P497" s="173"/>
      <c r="Q497" s="173"/>
      <c r="R497" s="173"/>
      <c r="S497" s="2"/>
      <c r="T497" s="2"/>
      <c r="U497" s="2"/>
      <c r="AK497" t="s">
        <v>1069</v>
      </c>
      <c r="AL497">
        <f>COUNTIF($AL$8:$AL$487,"Down")</f>
        <v>98</v>
      </c>
    </row>
    <row r="498" spans="1:43" s="141" customFormat="1" ht="16.5" x14ac:dyDescent="0.25">
      <c r="A498" s="144"/>
      <c r="B498" s="215"/>
      <c r="C498" s="215"/>
      <c r="D498" s="216"/>
      <c r="E498" s="215"/>
      <c r="F498" s="215"/>
      <c r="G498" s="217"/>
      <c r="H498" s="217"/>
      <c r="I498" s="144"/>
      <c r="J498" s="217"/>
      <c r="K498" s="217"/>
      <c r="L498" s="217"/>
      <c r="M498" s="217"/>
      <c r="N498" s="217"/>
      <c r="O498" s="217"/>
      <c r="P498" s="217"/>
      <c r="Q498" s="217"/>
      <c r="R498" s="217"/>
      <c r="S498" s="142"/>
      <c r="T498" s="142"/>
      <c r="U498" s="142"/>
      <c r="V498" s="215"/>
      <c r="W498" s="218"/>
      <c r="X498" s="215"/>
      <c r="Y498" s="215"/>
      <c r="Z498" s="215"/>
      <c r="AA498" s="144"/>
      <c r="AB498" s="144"/>
      <c r="AC498" s="144"/>
      <c r="AE498" s="215"/>
      <c r="AK498" s="141" t="s">
        <v>1070</v>
      </c>
      <c r="AL498" s="141">
        <f>COUNTIF($AL$8:$AL$487,"Same")</f>
        <v>128</v>
      </c>
      <c r="AQ498" s="23"/>
    </row>
    <row r="499" spans="1:43" s="141" customFormat="1" ht="16.5" x14ac:dyDescent="0.25">
      <c r="A499" s="144"/>
      <c r="B499" s="215"/>
      <c r="C499" s="215"/>
      <c r="D499" s="216"/>
      <c r="E499" s="215"/>
      <c r="F499" s="215"/>
      <c r="G499" s="217"/>
      <c r="H499" s="217"/>
      <c r="I499" s="144"/>
      <c r="J499" s="217"/>
      <c r="K499" s="217"/>
      <c r="L499" s="217"/>
      <c r="M499" s="217"/>
      <c r="N499" s="217"/>
      <c r="O499" s="217"/>
      <c r="P499" s="217"/>
      <c r="Q499" s="217"/>
      <c r="R499" s="217"/>
      <c r="S499" s="142"/>
      <c r="T499" s="142"/>
      <c r="U499" s="142"/>
      <c r="V499" s="215"/>
      <c r="W499" s="218"/>
      <c r="X499" s="215"/>
      <c r="Y499" s="215"/>
      <c r="Z499" s="215"/>
      <c r="AA499" s="144"/>
      <c r="AB499" s="144"/>
      <c r="AC499" s="144"/>
      <c r="AE499" s="215"/>
      <c r="AQ499" s="23"/>
    </row>
    <row r="500" spans="1:43" s="144" customFormat="1" x14ac:dyDescent="0.2">
      <c r="A500" s="233">
        <v>2021</v>
      </c>
      <c r="B500" s="218"/>
      <c r="C500" s="218"/>
      <c r="D500" s="223"/>
      <c r="E500" s="218"/>
      <c r="F500" s="218"/>
      <c r="G500" s="218" t="s">
        <v>1097</v>
      </c>
      <c r="H500" s="219" t="s">
        <v>1098</v>
      </c>
      <c r="I500" s="219">
        <v>1</v>
      </c>
      <c r="J500" s="218" t="s">
        <v>1099</v>
      </c>
      <c r="K500" s="218" t="s">
        <v>1100</v>
      </c>
      <c r="L500" s="218" t="s">
        <v>1101</v>
      </c>
      <c r="M500" s="218" t="s">
        <v>1102</v>
      </c>
      <c r="N500" s="218" t="s">
        <v>1103</v>
      </c>
      <c r="O500" s="218" t="s">
        <v>1104</v>
      </c>
      <c r="P500" s="218" t="s">
        <v>1105</v>
      </c>
      <c r="Q500" s="218" t="s">
        <v>1106</v>
      </c>
      <c r="R500" s="218" t="s">
        <v>1107</v>
      </c>
      <c r="S500" s="218" t="s">
        <v>1108</v>
      </c>
      <c r="T500" s="219">
        <v>0</v>
      </c>
      <c r="U500" s="218" t="s">
        <v>1109</v>
      </c>
      <c r="V500" s="218"/>
      <c r="W500" s="237" t="s">
        <v>1212</v>
      </c>
      <c r="X500" s="218"/>
      <c r="Y500" s="218"/>
      <c r="Z500" s="218"/>
      <c r="AE500" s="218"/>
      <c r="AQ500" s="82"/>
    </row>
    <row r="501" spans="1:43" s="144" customFormat="1" x14ac:dyDescent="0.2">
      <c r="B501" s="218"/>
      <c r="C501" s="218"/>
      <c r="D501" s="223"/>
      <c r="E501" s="218"/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U501" s="218"/>
      <c r="V501" s="218"/>
      <c r="X501" s="218"/>
      <c r="Y501" s="218"/>
      <c r="Z501" s="218"/>
      <c r="AE501" s="218"/>
      <c r="AL501" s="144">
        <f>SUM(AL496:AL500)</f>
        <v>358</v>
      </c>
      <c r="AQ501" s="82"/>
    </row>
    <row r="502" spans="1:43" s="144" customFormat="1" x14ac:dyDescent="0.2">
      <c r="A502" s="224" t="s">
        <v>880</v>
      </c>
      <c r="B502" s="218"/>
      <c r="C502" s="218"/>
      <c r="D502" s="223"/>
      <c r="E502" s="218"/>
      <c r="F502" s="218"/>
      <c r="G502" s="220">
        <f>COUNTA($H$8:$H$37)-U502</f>
        <v>30</v>
      </c>
      <c r="H502" s="220">
        <f>COUNTIFS($I$8:$I$37,"&gt;1")</f>
        <v>0</v>
      </c>
      <c r="I502" s="220">
        <f>COUNTIFS($I$8:$I$37,"1")</f>
        <v>9</v>
      </c>
      <c r="J502" s="220">
        <f>COUNTIFS($I$8:$I$37,"&gt;=.9")-H502-I502</f>
        <v>0</v>
      </c>
      <c r="K502" s="220">
        <f>COUNTIFS($I$8:$I$37,"&gt;=.8")-H502-I502-J502</f>
        <v>7</v>
      </c>
      <c r="L502" s="220">
        <f>COUNTIFS($I$8:$I$37,"&gt;=.7")-H502-I502-J502-K502</f>
        <v>3</v>
      </c>
      <c r="M502" s="220">
        <f>COUNTIFS($I$8:$I$37,"&gt;=.6")-H502-I502-J502-K502-L502</f>
        <v>2</v>
      </c>
      <c r="N502" s="220">
        <f>COUNTIFS($I$8:$I$37,"&gt;=.5")-H502-I502-J502-K502-L502-M502</f>
        <v>3</v>
      </c>
      <c r="O502" s="220">
        <f>COUNTIFS($I$8:$I$37,"&gt;=.4")-H502-I502-J502-K502-L502-M502-N502</f>
        <v>1</v>
      </c>
      <c r="P502" s="220">
        <f>COUNTIFS($I$8:$I$37,"&gt;=.3")-H502-I502-J502-K502-L502-M502-N502-O502</f>
        <v>2</v>
      </c>
      <c r="Q502" s="220">
        <f>COUNTIFS($I$8:$I$37,"&gt;=.2")-H502-I502-J502-K502-L502-M502-N502-O502-P502</f>
        <v>2</v>
      </c>
      <c r="R502" s="220">
        <f>COUNTIFS($I$8:$I$37,"&gt;=.1")-H502-I502-J502-K502-L502-M502-N502-O502-P502-Q502</f>
        <v>0</v>
      </c>
      <c r="S502" s="220">
        <f>COUNTIFS($I$8:$I$37,"&lt;.1")</f>
        <v>1</v>
      </c>
      <c r="T502" s="220">
        <f>COUNTIFS($I$8:$I$37,"&lt;=0")</f>
        <v>0</v>
      </c>
      <c r="U502" s="220">
        <v>0</v>
      </c>
      <c r="V502" s="218"/>
      <c r="W502" s="220">
        <f>COUNTIFS($I$8:$I$37,"&gt;0.81")</f>
        <v>16</v>
      </c>
      <c r="X502" s="218"/>
      <c r="Y502" s="218"/>
      <c r="Z502" s="218"/>
      <c r="AE502" s="218"/>
      <c r="AQ502" s="82"/>
    </row>
    <row r="503" spans="1:43" s="144" customFormat="1" x14ac:dyDescent="0.2">
      <c r="A503" s="224" t="s">
        <v>862</v>
      </c>
      <c r="B503" s="218"/>
      <c r="C503" s="218"/>
      <c r="D503" s="223"/>
      <c r="E503" s="218"/>
      <c r="F503" s="218"/>
      <c r="G503" s="220">
        <f>COUNTA($H$49:$H$79)-U503</f>
        <v>31</v>
      </c>
      <c r="H503" s="220">
        <f>COUNTIFS($I$49:$I$79,"&gt;1")</f>
        <v>2</v>
      </c>
      <c r="I503" s="220">
        <f>COUNTIFS($I$49:$I$79,"1")</f>
        <v>13</v>
      </c>
      <c r="J503" s="220">
        <f>COUNTIFS($I$49:$I$79,"&gt;=.9")-H503-I503</f>
        <v>1</v>
      </c>
      <c r="K503" s="220">
        <f>COUNTIFS($I$49:$I$79,"&gt;=.8")-H503-I503-J503</f>
        <v>0</v>
      </c>
      <c r="L503" s="220">
        <f>COUNTIFS($I$49:$I$79,"&gt;=.7")-H503-I503-J503-K503</f>
        <v>4</v>
      </c>
      <c r="M503" s="220">
        <f>COUNTIFS($I$49:$I$79,"&gt;=.6")-H503-I503-J503-K503-L503</f>
        <v>2</v>
      </c>
      <c r="N503" s="220">
        <f>COUNTIFS($I$49:$I$79,"&gt;=.5")-H503-I503-J503-K503-L503-M503</f>
        <v>2</v>
      </c>
      <c r="O503" s="220">
        <f>COUNTIFS($I$49:$I$79,"&gt;=.4")-H503-I503-J503-K503-L503-M503-N503</f>
        <v>3</v>
      </c>
      <c r="P503" s="220">
        <f>COUNTIFS($I$49:$I$79,"&gt;=.3")-H503-I503-J503-K503-L503-M503-N503-O503</f>
        <v>1</v>
      </c>
      <c r="Q503" s="220">
        <f>COUNTIFS($I$49:$I$79,"&gt;=.2")-H503-I503-J503-K503-L503-M503-N503-O503-P503</f>
        <v>1</v>
      </c>
      <c r="R503" s="220">
        <f>COUNTIFS($I$49:$I$79,"&gt;=.1")-H503-I503-J503-K503-L503-M503-N503-O503-P503-Q503</f>
        <v>0</v>
      </c>
      <c r="S503" s="220">
        <f>COUNTIFS($I$49:$I$79,"&lt;.1")</f>
        <v>2</v>
      </c>
      <c r="T503" s="220">
        <f>COUNTIFS($I$49:$I$79,"&lt;=0")</f>
        <v>0</v>
      </c>
      <c r="U503" s="220">
        <v>0</v>
      </c>
      <c r="V503" s="218"/>
      <c r="W503" s="220">
        <f>COUNTIFS($I$49:$I$79,"&gt;0.81")</f>
        <v>16</v>
      </c>
      <c r="X503" s="218"/>
      <c r="Y503" s="218"/>
      <c r="Z503" s="218"/>
      <c r="AE503" s="218"/>
      <c r="AQ503" s="82"/>
    </row>
    <row r="504" spans="1:43" s="144" customFormat="1" x14ac:dyDescent="0.2">
      <c r="A504" s="224" t="s">
        <v>863</v>
      </c>
      <c r="B504" s="218"/>
      <c r="C504" s="218"/>
      <c r="D504" s="223"/>
      <c r="E504" s="218"/>
      <c r="F504" s="218"/>
      <c r="G504" s="220">
        <f>COUNTA($H$91:$H$117)-U504</f>
        <v>25</v>
      </c>
      <c r="H504" s="220">
        <f>COUNTIFS($I$91:$I$117,"&gt;1")</f>
        <v>0</v>
      </c>
      <c r="I504" s="220">
        <f>COUNTIFS($I$91:$I$117,"1")</f>
        <v>13</v>
      </c>
      <c r="J504" s="220">
        <f>COUNTIFS($I$91:$I$117,"&gt;=.9")-H504-I504</f>
        <v>2</v>
      </c>
      <c r="K504" s="220">
        <f>COUNTIFS($I$91:$I$117,"&gt;=.8")-H504-I504-J504</f>
        <v>1</v>
      </c>
      <c r="L504" s="220">
        <f>COUNTIFS($I$91:$I$117,"&gt;=.7")-H504-I504-J504-K504</f>
        <v>1</v>
      </c>
      <c r="M504" s="220">
        <f>COUNTIFS($I$91:$I$117,"&gt;=.6")-H504-I504-J504-K504-L504</f>
        <v>0</v>
      </c>
      <c r="N504" s="220">
        <f>COUNTIFS($I$91:$I$117,"&gt;=.5")-H504-I504-J504-K504-L504-M504</f>
        <v>3</v>
      </c>
      <c r="O504" s="220">
        <f>COUNTIFS($I$91:$I$117,"&gt;=.4")-H504-I504-J504-K504-L504-M504-N504</f>
        <v>0</v>
      </c>
      <c r="P504" s="220">
        <f>COUNTIFS($I$91:$I$117,"&gt;=.3")-H504-I504-J504-K504-L504-M504-N504-O504</f>
        <v>2</v>
      </c>
      <c r="Q504" s="220">
        <f>COUNTIFS($I$91:$I$117,"&gt;=.2")-H504-I504-J504-K504-L504-M504-N504-O504-P504</f>
        <v>1</v>
      </c>
      <c r="R504" s="220">
        <f>COUNTIFS($I$91:$I$117,"&gt;=.1")-H504-I504-J504-K504-L504-M504-N504-O504-P504-Q504</f>
        <v>2</v>
      </c>
      <c r="S504" s="220">
        <f>COUNTIFS($I$91:$I$117,"&lt;.1")</f>
        <v>0</v>
      </c>
      <c r="T504" s="220">
        <f>COUNTIFS($I$91:$I$117,"&lt;=0")</f>
        <v>0</v>
      </c>
      <c r="U504" s="220">
        <v>2</v>
      </c>
      <c r="V504" s="218"/>
      <c r="W504" s="220">
        <f>COUNTIFS($I$91:$I$117,"&gt;0.81")</f>
        <v>16</v>
      </c>
      <c r="X504" s="218"/>
      <c r="Y504" s="218"/>
      <c r="Z504" s="218"/>
      <c r="AE504" s="218"/>
      <c r="AQ504" s="82"/>
    </row>
    <row r="505" spans="1:43" s="144" customFormat="1" x14ac:dyDescent="0.2">
      <c r="A505" s="224" t="s">
        <v>864</v>
      </c>
      <c r="B505" s="218"/>
      <c r="C505" s="218"/>
      <c r="D505" s="223"/>
      <c r="E505" s="218"/>
      <c r="F505" s="218"/>
      <c r="G505" s="220">
        <f>COUNTA($H$129:$H$155)-U505</f>
        <v>26</v>
      </c>
      <c r="H505" s="220">
        <f>COUNTIFS($I$129:$I$155,"&gt;1")</f>
        <v>0</v>
      </c>
      <c r="I505" s="220">
        <f>COUNTIFS($I$129:$I$155,"1")</f>
        <v>7</v>
      </c>
      <c r="J505" s="220">
        <f>COUNTIFS($I$129:$I$155,"&gt;=.9")-H505-I505</f>
        <v>0</v>
      </c>
      <c r="K505" s="220">
        <f>COUNTIFS($I$129:$I$155,"&gt;=.8")-H505-I505-J505</f>
        <v>4</v>
      </c>
      <c r="L505" s="220">
        <f>COUNTIFS($I$129:$I$155,"&gt;=.7")-H505-I505-J505-K505</f>
        <v>4</v>
      </c>
      <c r="M505" s="220">
        <f>COUNTIFS($I$129:$I$155,"&gt;=.6")-H505-I505-J505-K505-L505</f>
        <v>3</v>
      </c>
      <c r="N505" s="220">
        <f>COUNTIFS($I$129:$I$155,"&gt;=.5")-H505-I505-J505-K505-L505-M505</f>
        <v>3</v>
      </c>
      <c r="O505" s="220">
        <f>COUNTIFS($I$129:$I$155,"&gt;=.4")-H505-I505-J505-K505-L505-M505-N505</f>
        <v>2</v>
      </c>
      <c r="P505" s="220">
        <f>COUNTIFS($I$129:$I$155,"&gt;=.3")-H505-I505-J505-K505-L505-M505-N505-O505</f>
        <v>2</v>
      </c>
      <c r="Q505" s="220">
        <f>COUNTIFS($I$129:$I$155,"&gt;=.2")-H505-I505-J505-K505-L505-M505-N505-O505-P505</f>
        <v>1</v>
      </c>
      <c r="R505" s="220">
        <f>COUNTIFS($I$129:$I$155,"&gt;=.1")-H505-I505-J505-K505-L505-M505-N505-O505-P505-Q505</f>
        <v>0</v>
      </c>
      <c r="S505" s="220">
        <f>COUNTIFS($I$129:$I$155,"&lt;.1")</f>
        <v>0</v>
      </c>
      <c r="T505" s="220">
        <f>COUNTIFS($I$129:$I$155,"&lt;=0")</f>
        <v>0</v>
      </c>
      <c r="U505" s="220">
        <v>1</v>
      </c>
      <c r="V505" s="218"/>
      <c r="W505" s="220">
        <f>COUNTIFS($I$129:$I$155,"&gt;0.81")</f>
        <v>10</v>
      </c>
      <c r="X505" s="218"/>
      <c r="Y505" s="218"/>
      <c r="Z505" s="218"/>
      <c r="AE505" s="218"/>
      <c r="AQ505" s="82"/>
    </row>
    <row r="506" spans="1:43" s="144" customFormat="1" x14ac:dyDescent="0.2">
      <c r="A506" s="224" t="s">
        <v>865</v>
      </c>
      <c r="B506" s="218"/>
      <c r="C506" s="218"/>
      <c r="D506" s="223"/>
      <c r="E506" s="218"/>
      <c r="F506" s="218"/>
      <c r="G506" s="220">
        <f>COUNTA($H$167:$H$210)-U506</f>
        <v>43</v>
      </c>
      <c r="H506" s="220">
        <f>COUNTIFS($I$167:$I$210,"&gt;1")</f>
        <v>1</v>
      </c>
      <c r="I506" s="220">
        <f>COUNTIFS($I$167:$I$210,"1")</f>
        <v>27</v>
      </c>
      <c r="J506" s="220">
        <f>COUNTIFS($I$167:$I$210,"&gt;=.9")-H506-I506</f>
        <v>0</v>
      </c>
      <c r="K506" s="220">
        <f>COUNTIFS($I$167:$I$210,"&gt;=.8")-H506-I506-J506</f>
        <v>0</v>
      </c>
      <c r="L506" s="220">
        <f>COUNTIFS($I$167:$I$210,"&gt;=.7")-H506-I506-J506-K506</f>
        <v>2</v>
      </c>
      <c r="M506" s="220">
        <f>COUNTIFS($I$167:$I$210,"&gt;=.6")-H506-I506-J506-K506-L506</f>
        <v>1</v>
      </c>
      <c r="N506" s="220">
        <f>COUNTIFS($I$167:$I$210,"&gt;=.5")-H506-I506-J506-K506-L506-M506</f>
        <v>2</v>
      </c>
      <c r="O506" s="220">
        <f>COUNTIFS($I$167:$I$210,"&gt;=.4")-H506-I506-J506-K506-L506-M506-N506</f>
        <v>2</v>
      </c>
      <c r="P506" s="220">
        <f>COUNTIFS($I$167:$I$210,"&gt;=.3")-H506-I506-J506-K506-L506-M506-N506-O506</f>
        <v>4</v>
      </c>
      <c r="Q506" s="220">
        <f>COUNTIFS($I$167:$I$210,"&gt;=.2")-H506-I506-J506-K506-L506-M506-N506-O506-P506</f>
        <v>3</v>
      </c>
      <c r="R506" s="220">
        <f>COUNTIFS($I$167:$I$210,"&gt;=.1")-H506-I506-J506-K506-L506-M506-N506-O506-P506-Q506</f>
        <v>0</v>
      </c>
      <c r="S506" s="220">
        <f>COUNTIFS($I$167:$I$210,"&lt;.1")</f>
        <v>1</v>
      </c>
      <c r="T506" s="220">
        <f>COUNTIFS($I$167:$I$210,"&lt;=0")</f>
        <v>1</v>
      </c>
      <c r="U506" s="220">
        <v>1</v>
      </c>
      <c r="V506" s="218"/>
      <c r="W506" s="220">
        <f>COUNTIFS($I$167:$I$210,"&gt;0.81")</f>
        <v>28</v>
      </c>
      <c r="X506" s="218"/>
      <c r="Y506" s="218"/>
      <c r="Z506" s="218"/>
      <c r="AE506" s="218"/>
      <c r="AQ506" s="82"/>
    </row>
    <row r="507" spans="1:43" s="144" customFormat="1" x14ac:dyDescent="0.2">
      <c r="A507" s="224" t="s">
        <v>866</v>
      </c>
      <c r="B507" s="218"/>
      <c r="C507" s="218"/>
      <c r="D507" s="223"/>
      <c r="E507" s="218"/>
      <c r="F507" s="218"/>
      <c r="G507" s="220">
        <f>COUNTA($H$222:$H$253)-U507</f>
        <v>32</v>
      </c>
      <c r="H507" s="220">
        <f>COUNTIFS($I$222:$I$253,"&gt;1")</f>
        <v>1</v>
      </c>
      <c r="I507" s="220">
        <f>COUNTIFS($I$222:$I$253,"1")</f>
        <v>8</v>
      </c>
      <c r="J507" s="220">
        <f>COUNTIFS($I$222:$I$253,"&gt;=.9")-H507-I507</f>
        <v>1</v>
      </c>
      <c r="K507" s="220">
        <f>COUNTIFS($I$222:$I$253,"&gt;=.8")-H507-I507-J507</f>
        <v>5</v>
      </c>
      <c r="L507" s="220">
        <f>COUNTIFS($I$222:$I$253,"&gt;=.7")-H507-I507-J507-K507</f>
        <v>5</v>
      </c>
      <c r="M507" s="220">
        <f>COUNTIFS($I$222:$I$253,"&gt;=.6")-H507-I507-J507-K507-L507</f>
        <v>1</v>
      </c>
      <c r="N507" s="220">
        <f>COUNTIFS($I$222:$I$253,"&gt;=.5")-H507-I507-J507-K507-L507-M507</f>
        <v>3</v>
      </c>
      <c r="O507" s="220">
        <f>COUNTIFS($I$222:$I$253,"&gt;=.4")-H507-I507-J507-K507-L507-M507-N507</f>
        <v>3</v>
      </c>
      <c r="P507" s="220">
        <f>COUNTIFS($I$222:$I$253,"&gt;=.3")-H507-I507-J507-K507-L507-M507-N507-O507</f>
        <v>2</v>
      </c>
      <c r="Q507" s="220">
        <f>COUNTIFS($I$222:$I$253,"&gt;=.2")-H507-I507-J507-K507-L507-M507-N507-O507-P507</f>
        <v>1</v>
      </c>
      <c r="R507" s="220">
        <f>COUNTIFS($I$222:$I$253,"&gt;=.1")-H507-I507-J507-K507-L507-M507-N507-O507-P507-Q507</f>
        <v>1</v>
      </c>
      <c r="S507" s="220">
        <f>COUNTIFS($I$222:$I$253,"&lt;.1")</f>
        <v>1</v>
      </c>
      <c r="T507" s="220">
        <f>COUNTIFS($I$222:$I$253,"&lt;=0")</f>
        <v>1</v>
      </c>
      <c r="U507" s="220">
        <v>0</v>
      </c>
      <c r="V507" s="218"/>
      <c r="W507" s="220">
        <f>COUNTIFS($I$222:$I$253,"&gt;0.81")</f>
        <v>13</v>
      </c>
      <c r="X507" s="218"/>
      <c r="Y507" s="218"/>
      <c r="Z507" s="218"/>
      <c r="AE507" s="218"/>
      <c r="AQ507" s="82"/>
    </row>
    <row r="508" spans="1:43" s="144" customFormat="1" x14ac:dyDescent="0.2">
      <c r="A508" s="224" t="s">
        <v>867</v>
      </c>
      <c r="B508" s="218"/>
      <c r="C508" s="218"/>
      <c r="D508" s="223"/>
      <c r="E508" s="218"/>
      <c r="F508" s="218"/>
      <c r="G508" s="220">
        <f>COUNTA($H$265:$H$288)-U508</f>
        <v>24</v>
      </c>
      <c r="H508" s="220">
        <f>COUNTIFS($I$265:$I$288,"&gt;1")</f>
        <v>1</v>
      </c>
      <c r="I508" s="220">
        <f>COUNTIFS($I$265:$I$288,"1")</f>
        <v>10</v>
      </c>
      <c r="J508" s="220">
        <f>COUNTIFS($I$265:$I$288,"&gt;=.9")-H508-I508</f>
        <v>1</v>
      </c>
      <c r="K508" s="220">
        <f>COUNTIFS($I$265:$I$288,"&gt;=.8")-H508-I508-J508</f>
        <v>2</v>
      </c>
      <c r="L508" s="220">
        <f>COUNTIFS($I$265:$I$288,"&gt;=.7")-H508-I508-J508-K508</f>
        <v>2</v>
      </c>
      <c r="M508" s="220">
        <f>COUNTIFS($I$265:$I$288,"&gt;=.6")-H508-I508-J508-K508-L508</f>
        <v>0</v>
      </c>
      <c r="N508" s="220">
        <f>COUNTIFS($I$265:$I$288,"&gt;=.5")-H508-I508-J508-K508-L508-M508</f>
        <v>3</v>
      </c>
      <c r="O508" s="220">
        <f>COUNTIFS($I$265:$I$288,"&gt;=.4")-H508-I508-J508-K508-L508-M508-N508</f>
        <v>1</v>
      </c>
      <c r="P508" s="220">
        <f>COUNTIFS($I$265:$I$288,"&gt;=.3")-H508-I508-J508-K508-L508-M508-N508-O508</f>
        <v>1</v>
      </c>
      <c r="Q508" s="220">
        <f>COUNTIFS($I$265:$I$288,"&gt;=.2")-H508-I508-J508-K508-L508-M508-N508-O508-P508</f>
        <v>1</v>
      </c>
      <c r="R508" s="220">
        <f>COUNTIFS($I$265:$I$288,"&gt;=.1")-H508-I508-J508-K508-L508-M508-N508-O508-P508-Q508</f>
        <v>2</v>
      </c>
      <c r="S508" s="220">
        <f>COUNTIFS($I$265:$I$288,"&lt;.1")</f>
        <v>0</v>
      </c>
      <c r="T508" s="220">
        <f>COUNTIFS($I$265:$I$288,"&lt;=0")</f>
        <v>0</v>
      </c>
      <c r="U508" s="220">
        <v>0</v>
      </c>
      <c r="V508" s="218"/>
      <c r="W508" s="220">
        <f>COUNTIFS($I$265:$I$288,"&gt;0.81")</f>
        <v>14</v>
      </c>
      <c r="X508" s="218"/>
      <c r="Y508" s="218"/>
      <c r="Z508" s="218"/>
      <c r="AE508" s="218"/>
      <c r="AQ508" s="82"/>
    </row>
    <row r="509" spans="1:43" s="144" customFormat="1" x14ac:dyDescent="0.2">
      <c r="A509" s="224" t="s">
        <v>868</v>
      </c>
      <c r="B509" s="218"/>
      <c r="C509" s="218"/>
      <c r="D509" s="223"/>
      <c r="E509" s="218"/>
      <c r="F509" s="218"/>
      <c r="G509" s="220">
        <f>COUNTA($H$300:$H$314)-U509</f>
        <v>15</v>
      </c>
      <c r="H509" s="220">
        <f>COUNTIFS($I$300:$I$314,"&gt;1")</f>
        <v>0</v>
      </c>
      <c r="I509" s="220">
        <f>COUNTIFS($I$300:$I$314,"1")</f>
        <v>9</v>
      </c>
      <c r="J509" s="220">
        <f>COUNTIFS($I$300:$I$314,"&gt;=.9")-H509-I509</f>
        <v>1</v>
      </c>
      <c r="K509" s="220">
        <f>COUNTIFS($I$300:$I$314,"&gt;=.8")-H509-I509-J509</f>
        <v>0</v>
      </c>
      <c r="L509" s="220">
        <f>COUNTIFS($I$300:$I$314,"&gt;=.7")-H509-I509-J509-K509</f>
        <v>1</v>
      </c>
      <c r="M509" s="220">
        <f>COUNTIFS($I$300:$I$314,"&gt;=.6")-H509-I509-J509-K509-L509</f>
        <v>1</v>
      </c>
      <c r="N509" s="220">
        <f>COUNTIFS($I$300:$I$314,"&gt;=.5")-H509-I509-J509-K509-L509-M509</f>
        <v>1</v>
      </c>
      <c r="O509" s="220">
        <f>COUNTIFS($I$300:$I$314,"&gt;=.4")-H509-I509-J509-K509-L509-M509-N509</f>
        <v>0</v>
      </c>
      <c r="P509" s="220">
        <f>COUNTIFS($I$300:$I$314,"&gt;=.3")-H509-I509-J509-K509-L509-M509-N509-O509</f>
        <v>1</v>
      </c>
      <c r="Q509" s="220">
        <f>COUNTIFS($I$300:$I$314,"&gt;=.2")-H509-I509-J509-K509-L509-M509-N509-O509-P509</f>
        <v>1</v>
      </c>
      <c r="R509" s="220">
        <f>COUNTIFS($I$300:$I$314,"&gt;=.1")-H509-I509-J509-K509-L509-M509-N509-O509-P509-Q509</f>
        <v>0</v>
      </c>
      <c r="S509" s="220">
        <f>COUNTIFS($I$300:$I$314,"&lt;.1")</f>
        <v>0</v>
      </c>
      <c r="T509" s="220">
        <f>COUNTIFS($I$300:$I$314,"&lt;=0")</f>
        <v>0</v>
      </c>
      <c r="U509" s="220">
        <v>0</v>
      </c>
      <c r="V509" s="218"/>
      <c r="W509" s="220">
        <f>COUNTIFS($I$300:$I$314,"&gt;0.81")</f>
        <v>10</v>
      </c>
      <c r="X509" s="218"/>
      <c r="Y509" s="218"/>
      <c r="Z509" s="218"/>
      <c r="AE509" s="218"/>
      <c r="AQ509" s="82"/>
    </row>
    <row r="510" spans="1:43" s="144" customFormat="1" x14ac:dyDescent="0.2">
      <c r="A510" s="224" t="s">
        <v>869</v>
      </c>
      <c r="B510" s="218"/>
      <c r="C510" s="218"/>
      <c r="D510" s="223"/>
      <c r="E510" s="218"/>
      <c r="F510" s="218"/>
      <c r="G510" s="220">
        <f>COUNTA($H$326:$H$343)-U510</f>
        <v>18</v>
      </c>
      <c r="H510" s="220">
        <f>COUNTIFS($I$326:$I$343,"&gt;1")</f>
        <v>1</v>
      </c>
      <c r="I510" s="220">
        <f>COUNTIFS($I$326:$I$343,"1")</f>
        <v>6</v>
      </c>
      <c r="J510" s="220">
        <f>COUNTIFS($I$326:$I$343,"&gt;=.9")-H510-I510</f>
        <v>0</v>
      </c>
      <c r="K510" s="220">
        <f>COUNTIFS($I$326:$I$343,"&gt;=.8")-H510-I510-J510</f>
        <v>1</v>
      </c>
      <c r="L510" s="220">
        <f>COUNTIFS($I$326:$I$343,"&gt;=.7")-H510-I510-J510-K510</f>
        <v>4</v>
      </c>
      <c r="M510" s="220">
        <f>COUNTIFS($I$326:$I$343,"&gt;=.6")-H510-I510-J510-K510-L510</f>
        <v>2</v>
      </c>
      <c r="N510" s="220">
        <f>COUNTIFS($I$326:$I$343,"&gt;=.5")-H510-I510-J510-K510-L510-M510</f>
        <v>1</v>
      </c>
      <c r="O510" s="220">
        <f>COUNTIFS($I$326:$I$343,"&gt;=.4")-H510-I510-J510-K510-L510-M510-N510</f>
        <v>1</v>
      </c>
      <c r="P510" s="220">
        <f>COUNTIFS($I$326:$I$343,"&gt;=.3")-H510-I510-J510-K510-L510-M510-N510-O510</f>
        <v>0</v>
      </c>
      <c r="Q510" s="220">
        <f>COUNTIFS($I$326:$I$343,"&gt;=.2")-H510-I510-J510-K510-L510-M510-N510-O510-P510</f>
        <v>0</v>
      </c>
      <c r="R510" s="220">
        <f>COUNTIFS($I$326:$I$343,"&gt;=.1")-H510-I510-J510-K510-L510-M510-N510-O510-P510-Q510</f>
        <v>0</v>
      </c>
      <c r="S510" s="220">
        <f>COUNTIFS($I$326:$I$343,"&lt;.1")</f>
        <v>2</v>
      </c>
      <c r="T510" s="220">
        <f>COUNTIFS($I$326:$I$343,"&lt;=0")</f>
        <v>1</v>
      </c>
      <c r="U510" s="220">
        <v>0</v>
      </c>
      <c r="V510" s="218"/>
      <c r="W510" s="220">
        <f>COUNTIFS($I$326:$I$343,"&gt;0.81")</f>
        <v>8</v>
      </c>
      <c r="X510" s="218"/>
      <c r="Y510" s="218"/>
      <c r="Z510" s="218"/>
      <c r="AE510" s="218"/>
      <c r="AQ510" s="82"/>
    </row>
    <row r="511" spans="1:43" s="144" customFormat="1" x14ac:dyDescent="0.2">
      <c r="A511" s="224" t="s">
        <v>870</v>
      </c>
      <c r="B511" s="218"/>
      <c r="C511" s="218"/>
      <c r="D511" s="223"/>
      <c r="E511" s="218"/>
      <c r="F511" s="218"/>
      <c r="G511" s="220">
        <f>COUNTA($H$355:$H$389)-U511</f>
        <v>34</v>
      </c>
      <c r="H511" s="220">
        <f>COUNTIFS($I$355:$I$389,"&gt;1")</f>
        <v>1</v>
      </c>
      <c r="I511" s="220">
        <f>COUNTIFS($I$355:$I$389,"1")</f>
        <v>15</v>
      </c>
      <c r="J511" s="220">
        <f>COUNTIFS($I$355:$I$389,"&gt;=.9")-H511-I511</f>
        <v>5</v>
      </c>
      <c r="K511" s="220">
        <f>COUNTIFS($I$355:$I$389,"&gt;=.8")-H511-I511-J511</f>
        <v>0</v>
      </c>
      <c r="L511" s="220">
        <f>COUNTIFS($I$355:$I$389,"&gt;=.7")-H511-I511-J511-K511</f>
        <v>4</v>
      </c>
      <c r="M511" s="220">
        <f>COUNTIFS($I$355:$I$389,"&gt;=.6")-H511-I511-J511-K511-L511</f>
        <v>2</v>
      </c>
      <c r="N511" s="220">
        <f>COUNTIFS($I$355:$I$389,"&gt;=.5")-H511-I511-J511-K511-L511-M511</f>
        <v>1</v>
      </c>
      <c r="O511" s="220">
        <f>COUNTIFS($I$355:$I$389,"&gt;=.4")-H511-I511-J511-K511-L511-M511-N511</f>
        <v>4</v>
      </c>
      <c r="P511" s="220">
        <f>COUNTIFS($I$355:$I$389,"&gt;=.3")-H511-I511-J511-K511-L511-M511-N511-O511</f>
        <v>1</v>
      </c>
      <c r="Q511" s="220">
        <f>COUNTIFS($I$355:$I$389,"&gt;=.2")-H511-I511-J511-K511-L511-M511-N511-O511-P511</f>
        <v>0</v>
      </c>
      <c r="R511" s="220">
        <f>COUNTIFS($I$355:$I$389,"&gt;=.1")-H511-I511-J511-K511-L511-M511-N511-O511-P511-Q511</f>
        <v>0</v>
      </c>
      <c r="S511" s="220">
        <f>COUNTIFS($I$355:$I$389,"&lt;.1")</f>
        <v>1</v>
      </c>
      <c r="T511" s="220">
        <f>COUNTIFS($I$355:$I$389,"&lt;=0")</f>
        <v>1</v>
      </c>
      <c r="U511" s="220">
        <v>1</v>
      </c>
      <c r="V511" s="218"/>
      <c r="W511" s="220">
        <f>COUNTIFS($I$355:$I$389,"&gt;0.81")</f>
        <v>21</v>
      </c>
      <c r="X511" s="218"/>
      <c r="Y511" s="218"/>
      <c r="Z511" s="218"/>
      <c r="AE511" s="218"/>
      <c r="AQ511" s="82"/>
    </row>
    <row r="512" spans="1:43" s="144" customFormat="1" x14ac:dyDescent="0.2">
      <c r="A512" s="224" t="s">
        <v>871</v>
      </c>
      <c r="B512" s="218"/>
      <c r="C512" s="218"/>
      <c r="D512" s="223"/>
      <c r="E512" s="218"/>
      <c r="F512" s="218"/>
      <c r="G512" s="220">
        <f>COUNTA($H$401:$H$447)-U512</f>
        <v>47</v>
      </c>
      <c r="H512" s="220">
        <f>COUNTIFS($I$401:$I$447,"&gt;1")</f>
        <v>11</v>
      </c>
      <c r="I512" s="220">
        <f>COUNTIFS($I$401:$I$447,"1")</f>
        <v>28</v>
      </c>
      <c r="J512" s="220">
        <f>COUNTIFS($I$401:$I$447,"&gt;=.9")-H512-I512</f>
        <v>0</v>
      </c>
      <c r="K512" s="220">
        <f>COUNTIFS($I$401:$I$447,"&gt;=.8")-H512-I512-J512</f>
        <v>0</v>
      </c>
      <c r="L512" s="220">
        <f>COUNTIFS($I$401:$I$447,"&gt;=.7")-H512-I512-J512-K512</f>
        <v>2</v>
      </c>
      <c r="M512" s="220">
        <f>COUNTIFS($I$401:$I$447,"&gt;=.6")-H512-I512-J512-K512-L512</f>
        <v>1</v>
      </c>
      <c r="N512" s="220">
        <f>COUNTIFS($I$401:$I$447,"&gt;=.5")-H512-I512-J512-K512-L512-M512</f>
        <v>2</v>
      </c>
      <c r="O512" s="220">
        <f>COUNTIFS($I$401:$I$447,"&gt;=.4")-H512-I512-J512-K512-L512-M512-N512</f>
        <v>1</v>
      </c>
      <c r="P512" s="220">
        <f>COUNTIFS($I$401:$I$447,"&gt;=.3")-H512-I512-J512-K512-L512-M512-N512-O512</f>
        <v>0</v>
      </c>
      <c r="Q512" s="220">
        <f>COUNTIFS($I$401:$I$447,"&gt;=.2")-H512-I512-J512-K512-L512-M512-N512-O512-P512</f>
        <v>0</v>
      </c>
      <c r="R512" s="220">
        <f>COUNTIFS($I$401:$I$447,"&gt;=.1")-H512-I512-J512-K512-L512-M512-N512-O512-P512-Q512</f>
        <v>0</v>
      </c>
      <c r="S512" s="220">
        <f>COUNTIFS($I$401:$I$447,"&lt;.1")</f>
        <v>2</v>
      </c>
      <c r="T512" s="220">
        <f>COUNTIFS($I$401:$I$447,"&lt;=0")</f>
        <v>2</v>
      </c>
      <c r="U512" s="220">
        <v>0</v>
      </c>
      <c r="V512" s="218"/>
      <c r="W512" s="220">
        <f>COUNTIFS($I$401:$I$447,"&gt;0.81")</f>
        <v>39</v>
      </c>
      <c r="X512" s="218"/>
      <c r="Y512" s="218"/>
      <c r="Z512" s="218"/>
      <c r="AE512" s="218"/>
      <c r="AQ512" s="82"/>
    </row>
    <row r="513" spans="1:43" s="144" customFormat="1" x14ac:dyDescent="0.2">
      <c r="A513" s="224" t="s">
        <v>872</v>
      </c>
      <c r="B513" s="218"/>
      <c r="C513" s="218"/>
      <c r="D513" s="223"/>
      <c r="E513" s="218"/>
      <c r="F513" s="218"/>
      <c r="G513" s="220">
        <f>COUNTA($H$460:$H$487)-U513</f>
        <v>27</v>
      </c>
      <c r="H513" s="220">
        <f>COUNTIFS($I$460:$I$487,"&gt;1")</f>
        <v>2</v>
      </c>
      <c r="I513" s="220">
        <f>COUNTIFS($I$460:$I$487,"1")</f>
        <v>14</v>
      </c>
      <c r="J513" s="220">
        <f>COUNTIFS($I$460:$I$487,"&gt;=.9")-H513-I513</f>
        <v>0</v>
      </c>
      <c r="K513" s="220">
        <f>COUNTIFS($I$460:$I$487,"&gt;=.8")-H513-I513-J513</f>
        <v>1</v>
      </c>
      <c r="L513" s="220">
        <f>COUNTIFS($I$460:$I$487,"&gt;=.7")-H513-I513-J513-K513</f>
        <v>2</v>
      </c>
      <c r="M513" s="220">
        <f>COUNTIFS($I$460:$I$487,"&gt;=.6")-H513-I513-J513-K513-L513</f>
        <v>3</v>
      </c>
      <c r="N513" s="220">
        <f>COUNTIFS($I$460:$I$487,"&gt;=.5")-H513-I513-J513-K513-L513-M513</f>
        <v>3</v>
      </c>
      <c r="O513" s="220">
        <f>COUNTIFS($I$460:$I$487,"&gt;=.4")-H513-I513-J513-K513-L513-M513-N513</f>
        <v>0</v>
      </c>
      <c r="P513" s="220">
        <f>COUNTIFS($I$460:$I$487,"&gt;=.3")-H513-I513-J513-K513-L513-M513-N513-O513</f>
        <v>0</v>
      </c>
      <c r="Q513" s="220">
        <f>COUNTIFS($I$460:$I$487,"&gt;=.2")-H513-I513-J513-K513-L513-M513-N513-O513-P513</f>
        <v>0</v>
      </c>
      <c r="R513" s="220">
        <f>COUNTIFS($I$460:$I$487,"&gt;=.1")-H513-I513-J513-K513-L513-M513-N513-O513-P513-Q513</f>
        <v>2</v>
      </c>
      <c r="S513" s="220">
        <f>COUNTIFS($I$460:$I$487,"&lt;.1")</f>
        <v>0</v>
      </c>
      <c r="T513" s="220">
        <f>COUNTIFS($I$460:$I$487,"&lt;=0")</f>
        <v>0</v>
      </c>
      <c r="U513" s="220">
        <v>1</v>
      </c>
      <c r="V513" s="218"/>
      <c r="W513" s="220">
        <f>COUNTIFS($I$460:$I$487,"&gt;0.81")</f>
        <v>17</v>
      </c>
      <c r="X513" s="218"/>
      <c r="Y513" s="218"/>
      <c r="Z513" s="218"/>
      <c r="AE513" s="218"/>
      <c r="AQ513" s="82"/>
    </row>
    <row r="514" spans="1:43" s="6" customFormat="1" x14ac:dyDescent="0.2">
      <c r="A514" s="226"/>
      <c r="B514" s="10"/>
      <c r="C514" s="10"/>
      <c r="D514" s="225"/>
      <c r="E514" s="10"/>
      <c r="F514" s="1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10"/>
      <c r="W514" s="220"/>
      <c r="X514" s="10"/>
      <c r="Y514" s="10"/>
      <c r="Z514" s="10"/>
      <c r="AE514" s="10"/>
      <c r="AQ514" s="82"/>
    </row>
    <row r="515" spans="1:43" s="6" customFormat="1" x14ac:dyDescent="0.2">
      <c r="A515" s="226"/>
      <c r="B515" s="10"/>
      <c r="C515" s="10"/>
      <c r="D515" s="225"/>
      <c r="E515" s="10"/>
      <c r="F515" s="10"/>
      <c r="G515" s="220">
        <f>SUM(G502:G514)</f>
        <v>352</v>
      </c>
      <c r="H515" s="220">
        <f t="shared" ref="H515:S515" si="107">SUM(H502:H514)</f>
        <v>20</v>
      </c>
      <c r="I515" s="220">
        <f t="shared" si="107"/>
        <v>159</v>
      </c>
      <c r="J515" s="220">
        <f t="shared" si="107"/>
        <v>11</v>
      </c>
      <c r="K515" s="220">
        <f t="shared" si="107"/>
        <v>21</v>
      </c>
      <c r="L515" s="220">
        <f t="shared" si="107"/>
        <v>34</v>
      </c>
      <c r="M515" s="220">
        <f t="shared" si="107"/>
        <v>18</v>
      </c>
      <c r="N515" s="220">
        <f t="shared" si="107"/>
        <v>27</v>
      </c>
      <c r="O515" s="220">
        <f t="shared" si="107"/>
        <v>18</v>
      </c>
      <c r="P515" s="220">
        <f t="shared" si="107"/>
        <v>16</v>
      </c>
      <c r="Q515" s="220">
        <f t="shared" si="107"/>
        <v>11</v>
      </c>
      <c r="R515" s="220">
        <f t="shared" si="107"/>
        <v>7</v>
      </c>
      <c r="S515" s="220">
        <f t="shared" si="107"/>
        <v>10</v>
      </c>
      <c r="T515" s="220">
        <f t="shared" ref="T515" si="108">SUM(T502:T514)</f>
        <v>6</v>
      </c>
      <c r="U515" s="220">
        <f>SUM(U502:U514)</f>
        <v>6</v>
      </c>
      <c r="V515" s="10"/>
      <c r="W515" s="220">
        <f t="shared" ref="W515" si="109">SUM(W502:W514)</f>
        <v>208</v>
      </c>
      <c r="X515" s="10"/>
      <c r="Y515" s="10"/>
      <c r="Z515" s="10"/>
      <c r="AE515" s="10"/>
      <c r="AQ515" s="82"/>
    </row>
    <row r="516" spans="1:43" ht="15.75" thickBot="1" x14ac:dyDescent="0.25">
      <c r="A516" s="232"/>
      <c r="B516" s="229"/>
      <c r="C516" s="229"/>
      <c r="D516" s="230"/>
      <c r="E516" s="229"/>
      <c r="F516" s="229"/>
      <c r="G516" s="231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28"/>
      <c r="T516" s="228"/>
      <c r="U516" s="228"/>
      <c r="W516" s="141"/>
    </row>
    <row r="517" spans="1:43" x14ac:dyDescent="0.2"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1"/>
      <c r="T517" s="141"/>
      <c r="U517" s="141"/>
      <c r="W517" s="141"/>
    </row>
    <row r="518" spans="1:43" x14ac:dyDescent="0.2">
      <c r="A518" s="233">
        <v>2020</v>
      </c>
      <c r="B518" s="215"/>
      <c r="C518" s="215"/>
      <c r="D518" s="216"/>
      <c r="E518" s="215"/>
      <c r="F518" s="215"/>
      <c r="G518" s="218" t="s">
        <v>1097</v>
      </c>
      <c r="H518" s="219" t="s">
        <v>1098</v>
      </c>
      <c r="I518" s="219">
        <v>1</v>
      </c>
      <c r="J518" s="218" t="s">
        <v>1099</v>
      </c>
      <c r="K518" s="218" t="s">
        <v>1100</v>
      </c>
      <c r="L518" s="218" t="s">
        <v>1101</v>
      </c>
      <c r="M518" s="218" t="s">
        <v>1102</v>
      </c>
      <c r="N518" s="218" t="s">
        <v>1103</v>
      </c>
      <c r="O518" s="218" t="s">
        <v>1104</v>
      </c>
      <c r="P518" s="218" t="s">
        <v>1105</v>
      </c>
      <c r="Q518" s="218" t="s">
        <v>1106</v>
      </c>
      <c r="R518" s="218" t="s">
        <v>1107</v>
      </c>
      <c r="S518" s="218" t="s">
        <v>1108</v>
      </c>
      <c r="U518" s="218" t="s">
        <v>1109</v>
      </c>
      <c r="W518" s="237" t="s">
        <v>1112</v>
      </c>
    </row>
    <row r="519" spans="1:43" x14ac:dyDescent="0.2">
      <c r="B519" s="215"/>
      <c r="C519" s="215"/>
      <c r="D519" s="216"/>
      <c r="E519" s="215"/>
      <c r="F519" s="215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5"/>
      <c r="S519" s="215"/>
      <c r="U519" s="215"/>
      <c r="W519"/>
    </row>
    <row r="520" spans="1:43" x14ac:dyDescent="0.2">
      <c r="A520" s="224" t="s">
        <v>880</v>
      </c>
      <c r="B520" s="215"/>
      <c r="C520" s="215"/>
      <c r="D520" s="216"/>
      <c r="E520" s="215"/>
      <c r="F520" s="215"/>
      <c r="G520" s="220">
        <v>30</v>
      </c>
      <c r="H520" s="220">
        <v>2</v>
      </c>
      <c r="I520" s="220">
        <v>8</v>
      </c>
      <c r="J520" s="220">
        <v>1</v>
      </c>
      <c r="K520" s="220">
        <v>1</v>
      </c>
      <c r="L520" s="220">
        <v>4</v>
      </c>
      <c r="M520" s="220">
        <v>2</v>
      </c>
      <c r="N520" s="220">
        <v>3</v>
      </c>
      <c r="O520" s="220">
        <v>2</v>
      </c>
      <c r="P520" s="220">
        <v>1</v>
      </c>
      <c r="Q520" s="220">
        <v>1</v>
      </c>
      <c r="R520" s="220">
        <v>1</v>
      </c>
      <c r="S520" s="220">
        <v>4</v>
      </c>
      <c r="T520" s="220">
        <v>4</v>
      </c>
      <c r="U520" s="220">
        <v>0</v>
      </c>
      <c r="W520" s="7">
        <v>12</v>
      </c>
    </row>
    <row r="521" spans="1:43" x14ac:dyDescent="0.2">
      <c r="A521" s="224" t="s">
        <v>862</v>
      </c>
      <c r="B521" s="215"/>
      <c r="C521" s="215"/>
      <c r="D521" s="216"/>
      <c r="E521" s="215"/>
      <c r="F521" s="215"/>
      <c r="G521" s="220">
        <v>31</v>
      </c>
      <c r="H521" s="220">
        <v>3</v>
      </c>
      <c r="I521" s="220">
        <v>16</v>
      </c>
      <c r="J521" s="220">
        <v>1</v>
      </c>
      <c r="K521" s="220">
        <v>0</v>
      </c>
      <c r="L521" s="220">
        <v>2</v>
      </c>
      <c r="M521" s="220">
        <v>1</v>
      </c>
      <c r="N521" s="220">
        <v>1</v>
      </c>
      <c r="O521" s="220">
        <v>2</v>
      </c>
      <c r="P521" s="220">
        <v>0</v>
      </c>
      <c r="Q521" s="220">
        <v>1</v>
      </c>
      <c r="R521" s="220">
        <v>3</v>
      </c>
      <c r="S521" s="220">
        <v>1</v>
      </c>
      <c r="T521" s="220">
        <v>0</v>
      </c>
      <c r="U521" s="220">
        <v>0</v>
      </c>
      <c r="W521" s="7">
        <v>20</v>
      </c>
    </row>
    <row r="522" spans="1:43" x14ac:dyDescent="0.2">
      <c r="A522" s="224" t="s">
        <v>863</v>
      </c>
      <c r="B522" s="215"/>
      <c r="C522" s="215"/>
      <c r="D522" s="216"/>
      <c r="E522" s="215"/>
      <c r="F522" s="215"/>
      <c r="G522" s="220">
        <v>25</v>
      </c>
      <c r="H522" s="220">
        <v>0</v>
      </c>
      <c r="I522" s="220">
        <v>12</v>
      </c>
      <c r="J522" s="220">
        <v>2</v>
      </c>
      <c r="K522" s="220">
        <v>2</v>
      </c>
      <c r="L522" s="220">
        <v>1</v>
      </c>
      <c r="M522" s="220">
        <v>2</v>
      </c>
      <c r="N522" s="220">
        <v>2</v>
      </c>
      <c r="O522" s="220">
        <v>1</v>
      </c>
      <c r="P522" s="220">
        <v>2</v>
      </c>
      <c r="Q522" s="220">
        <v>1</v>
      </c>
      <c r="R522" s="220">
        <v>0</v>
      </c>
      <c r="S522" s="220">
        <v>0</v>
      </c>
      <c r="T522" s="220">
        <v>0</v>
      </c>
      <c r="U522" s="220">
        <v>2</v>
      </c>
      <c r="W522" s="7">
        <v>16</v>
      </c>
    </row>
    <row r="523" spans="1:43" x14ac:dyDescent="0.2">
      <c r="A523" s="224" t="s">
        <v>864</v>
      </c>
      <c r="B523" s="215"/>
      <c r="C523" s="215"/>
      <c r="D523" s="216"/>
      <c r="E523" s="215"/>
      <c r="F523" s="215"/>
      <c r="G523" s="220">
        <v>26</v>
      </c>
      <c r="H523" s="220">
        <v>0</v>
      </c>
      <c r="I523" s="220">
        <v>10</v>
      </c>
      <c r="J523" s="220">
        <v>0</v>
      </c>
      <c r="K523" s="220">
        <v>2</v>
      </c>
      <c r="L523" s="220">
        <v>1</v>
      </c>
      <c r="M523" s="220">
        <v>4</v>
      </c>
      <c r="N523" s="220">
        <v>0</v>
      </c>
      <c r="O523" s="220">
        <v>5</v>
      </c>
      <c r="P523" s="220">
        <v>1</v>
      </c>
      <c r="Q523" s="220">
        <v>2</v>
      </c>
      <c r="R523" s="220">
        <v>1</v>
      </c>
      <c r="S523" s="220">
        <v>0</v>
      </c>
      <c r="T523" s="220">
        <v>0</v>
      </c>
      <c r="U523" s="220">
        <v>1</v>
      </c>
      <c r="W523" s="7">
        <v>12</v>
      </c>
    </row>
    <row r="524" spans="1:43" x14ac:dyDescent="0.2">
      <c r="A524" s="224" t="s">
        <v>865</v>
      </c>
      <c r="B524" s="215"/>
      <c r="C524" s="215"/>
      <c r="D524" s="216"/>
      <c r="E524" s="215"/>
      <c r="F524" s="215"/>
      <c r="G524" s="220">
        <v>43</v>
      </c>
      <c r="H524" s="220">
        <v>0</v>
      </c>
      <c r="I524" s="220">
        <v>19</v>
      </c>
      <c r="J524" s="220">
        <v>11</v>
      </c>
      <c r="K524" s="220">
        <v>0</v>
      </c>
      <c r="L524" s="220">
        <v>2</v>
      </c>
      <c r="M524" s="220">
        <v>0</v>
      </c>
      <c r="N524" s="220">
        <v>1</v>
      </c>
      <c r="O524" s="220">
        <v>5</v>
      </c>
      <c r="P524" s="220">
        <v>3</v>
      </c>
      <c r="Q524" s="220">
        <v>2</v>
      </c>
      <c r="R524" s="220">
        <v>0</v>
      </c>
      <c r="S524" s="220">
        <v>0</v>
      </c>
      <c r="T524" s="220">
        <v>0</v>
      </c>
      <c r="U524" s="220">
        <v>1</v>
      </c>
      <c r="W524" s="7">
        <v>30</v>
      </c>
    </row>
    <row r="525" spans="1:43" x14ac:dyDescent="0.2">
      <c r="A525" s="224" t="s">
        <v>866</v>
      </c>
      <c r="B525" s="215"/>
      <c r="C525" s="215"/>
      <c r="D525" s="216"/>
      <c r="E525" s="215"/>
      <c r="F525" s="215"/>
      <c r="G525" s="220">
        <v>32</v>
      </c>
      <c r="H525" s="220">
        <v>1</v>
      </c>
      <c r="I525" s="220">
        <v>9</v>
      </c>
      <c r="J525" s="220">
        <v>0</v>
      </c>
      <c r="K525" s="220">
        <v>1</v>
      </c>
      <c r="L525" s="220">
        <v>4</v>
      </c>
      <c r="M525" s="220">
        <v>5</v>
      </c>
      <c r="N525" s="220">
        <v>5</v>
      </c>
      <c r="O525" s="220">
        <v>3</v>
      </c>
      <c r="P525" s="220">
        <v>1</v>
      </c>
      <c r="Q525" s="220">
        <v>0</v>
      </c>
      <c r="R525" s="220">
        <v>3</v>
      </c>
      <c r="S525" s="220">
        <v>0</v>
      </c>
      <c r="T525" s="220">
        <v>0</v>
      </c>
      <c r="U525" s="220">
        <v>0</v>
      </c>
      <c r="W525" s="7">
        <v>11</v>
      </c>
    </row>
    <row r="526" spans="1:43" x14ac:dyDescent="0.2">
      <c r="A526" s="224" t="s">
        <v>867</v>
      </c>
      <c r="B526" s="215"/>
      <c r="C526" s="215"/>
      <c r="D526" s="216"/>
      <c r="E526" s="215"/>
      <c r="F526" s="215"/>
      <c r="G526" s="220">
        <v>24</v>
      </c>
      <c r="H526" s="220">
        <v>0</v>
      </c>
      <c r="I526" s="220">
        <v>11</v>
      </c>
      <c r="J526" s="220">
        <v>2</v>
      </c>
      <c r="K526" s="220">
        <v>0</v>
      </c>
      <c r="L526" s="220">
        <v>4</v>
      </c>
      <c r="M526" s="220">
        <v>1</v>
      </c>
      <c r="N526" s="220">
        <v>2</v>
      </c>
      <c r="O526" s="220">
        <v>2</v>
      </c>
      <c r="P526" s="220">
        <v>1</v>
      </c>
      <c r="Q526" s="220">
        <v>1</v>
      </c>
      <c r="R526" s="220">
        <v>0</v>
      </c>
      <c r="S526" s="220">
        <v>0</v>
      </c>
      <c r="T526" s="220">
        <v>0</v>
      </c>
      <c r="U526" s="220">
        <v>0</v>
      </c>
      <c r="W526" s="7">
        <v>13</v>
      </c>
    </row>
    <row r="527" spans="1:43" x14ac:dyDescent="0.2">
      <c r="A527" s="224" t="s">
        <v>868</v>
      </c>
      <c r="B527" s="215"/>
      <c r="C527" s="215"/>
      <c r="D527" s="216"/>
      <c r="E527" s="215"/>
      <c r="F527" s="215"/>
      <c r="G527" s="220">
        <v>15</v>
      </c>
      <c r="H527" s="220">
        <v>0</v>
      </c>
      <c r="I527" s="220">
        <v>9</v>
      </c>
      <c r="J527" s="220">
        <v>0</v>
      </c>
      <c r="K527" s="220">
        <v>1</v>
      </c>
      <c r="L527" s="220">
        <v>0</v>
      </c>
      <c r="M527" s="220">
        <v>1</v>
      </c>
      <c r="N527" s="220">
        <v>0</v>
      </c>
      <c r="O527" s="220">
        <v>2</v>
      </c>
      <c r="P527" s="220">
        <v>2</v>
      </c>
      <c r="Q527" s="220">
        <v>0</v>
      </c>
      <c r="R527" s="220">
        <v>0</v>
      </c>
      <c r="S527" s="220">
        <v>0</v>
      </c>
      <c r="T527" s="220">
        <v>0</v>
      </c>
      <c r="U527" s="220">
        <v>0</v>
      </c>
      <c r="W527" s="7">
        <v>10</v>
      </c>
    </row>
    <row r="528" spans="1:43" x14ac:dyDescent="0.2">
      <c r="A528" s="224" t="s">
        <v>869</v>
      </c>
      <c r="B528" s="215"/>
      <c r="C528" s="215"/>
      <c r="D528" s="216"/>
      <c r="E528" s="215"/>
      <c r="F528" s="215"/>
      <c r="G528" s="220">
        <v>18</v>
      </c>
      <c r="H528" s="220">
        <v>0</v>
      </c>
      <c r="I528" s="220">
        <v>3</v>
      </c>
      <c r="J528" s="220">
        <v>2</v>
      </c>
      <c r="K528" s="220">
        <v>2</v>
      </c>
      <c r="L528" s="220">
        <v>3</v>
      </c>
      <c r="M528" s="220">
        <v>4</v>
      </c>
      <c r="N528" s="220">
        <v>2</v>
      </c>
      <c r="O528" s="220">
        <v>0</v>
      </c>
      <c r="P528" s="220">
        <v>2</v>
      </c>
      <c r="Q528" s="220">
        <v>0</v>
      </c>
      <c r="R528" s="220">
        <v>0</v>
      </c>
      <c r="S528" s="220">
        <v>0</v>
      </c>
      <c r="T528" s="220">
        <v>0</v>
      </c>
      <c r="U528" s="221">
        <v>0</v>
      </c>
      <c r="W528" s="7">
        <v>7</v>
      </c>
    </row>
    <row r="529" spans="1:23" x14ac:dyDescent="0.2">
      <c r="A529" s="224" t="s">
        <v>870</v>
      </c>
      <c r="B529" s="215"/>
      <c r="C529" s="215"/>
      <c r="D529" s="216"/>
      <c r="E529" s="215"/>
      <c r="F529" s="215"/>
      <c r="G529" s="220">
        <v>34</v>
      </c>
      <c r="H529" s="220">
        <v>1</v>
      </c>
      <c r="I529" s="220">
        <v>14</v>
      </c>
      <c r="J529" s="220">
        <v>2</v>
      </c>
      <c r="K529" s="220">
        <v>3</v>
      </c>
      <c r="L529" s="220">
        <v>4</v>
      </c>
      <c r="M529" s="220">
        <v>1</v>
      </c>
      <c r="N529" s="220">
        <v>2</v>
      </c>
      <c r="O529" s="220">
        <v>2</v>
      </c>
      <c r="P529" s="220">
        <v>2</v>
      </c>
      <c r="Q529" s="220">
        <v>1</v>
      </c>
      <c r="R529" s="220">
        <v>1</v>
      </c>
      <c r="S529" s="220">
        <v>1</v>
      </c>
      <c r="T529" s="220">
        <v>1</v>
      </c>
      <c r="U529" s="221">
        <v>1</v>
      </c>
      <c r="W529" s="7">
        <v>19</v>
      </c>
    </row>
    <row r="530" spans="1:23" x14ac:dyDescent="0.2">
      <c r="A530" s="224" t="s">
        <v>871</v>
      </c>
      <c r="B530" s="215"/>
      <c r="C530" s="215"/>
      <c r="D530" s="216"/>
      <c r="E530" s="215"/>
      <c r="F530" s="215"/>
      <c r="G530" s="220">
        <v>47</v>
      </c>
      <c r="H530" s="220">
        <v>2</v>
      </c>
      <c r="I530" s="220">
        <v>34</v>
      </c>
      <c r="J530" s="220">
        <v>0</v>
      </c>
      <c r="K530" s="220">
        <v>1</v>
      </c>
      <c r="L530" s="220">
        <v>1</v>
      </c>
      <c r="M530" s="220">
        <v>2</v>
      </c>
      <c r="N530" s="220">
        <v>4</v>
      </c>
      <c r="O530" s="220">
        <v>2</v>
      </c>
      <c r="P530" s="220">
        <v>0</v>
      </c>
      <c r="Q530" s="220">
        <v>0</v>
      </c>
      <c r="R530" s="220">
        <v>0</v>
      </c>
      <c r="S530" s="220">
        <v>1</v>
      </c>
      <c r="T530" s="220">
        <v>1</v>
      </c>
      <c r="U530" s="221">
        <v>0</v>
      </c>
      <c r="W530" s="7">
        <v>37</v>
      </c>
    </row>
    <row r="531" spans="1:23" x14ac:dyDescent="0.2">
      <c r="A531" s="224" t="s">
        <v>872</v>
      </c>
      <c r="B531" s="215"/>
      <c r="C531" s="215"/>
      <c r="D531" s="216"/>
      <c r="E531" s="215"/>
      <c r="F531" s="215"/>
      <c r="G531" s="220">
        <v>27</v>
      </c>
      <c r="H531" s="220">
        <v>1</v>
      </c>
      <c r="I531" s="220">
        <v>14</v>
      </c>
      <c r="J531" s="220">
        <v>1</v>
      </c>
      <c r="K531" s="220">
        <v>3</v>
      </c>
      <c r="L531" s="220">
        <v>2</v>
      </c>
      <c r="M531" s="220">
        <v>0</v>
      </c>
      <c r="N531" s="220">
        <v>1</v>
      </c>
      <c r="O531" s="220">
        <v>4</v>
      </c>
      <c r="P531" s="220">
        <v>0</v>
      </c>
      <c r="Q531" s="220">
        <v>1</v>
      </c>
      <c r="R531" s="220">
        <v>0</v>
      </c>
      <c r="S531" s="220">
        <v>0</v>
      </c>
      <c r="T531" s="220">
        <v>0</v>
      </c>
      <c r="U531" s="221">
        <v>1</v>
      </c>
      <c r="W531" s="7">
        <v>19</v>
      </c>
    </row>
    <row r="532" spans="1:23" x14ac:dyDescent="0.2"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1"/>
      <c r="S532" s="221"/>
      <c r="U532" s="221"/>
      <c r="W532" s="7"/>
    </row>
    <row r="533" spans="1:23" x14ac:dyDescent="0.2">
      <c r="G533" s="220">
        <f>SUM(G520:G532)</f>
        <v>352</v>
      </c>
      <c r="H533" s="220">
        <f t="shared" ref="H533:T533" si="110">SUM(H520:H532)</f>
        <v>10</v>
      </c>
      <c r="I533" s="220">
        <f t="shared" si="110"/>
        <v>159</v>
      </c>
      <c r="J533" s="220">
        <f t="shared" si="110"/>
        <v>22</v>
      </c>
      <c r="K533" s="220">
        <f t="shared" si="110"/>
        <v>16</v>
      </c>
      <c r="L533" s="220">
        <f t="shared" si="110"/>
        <v>28</v>
      </c>
      <c r="M533" s="220">
        <f t="shared" si="110"/>
        <v>23</v>
      </c>
      <c r="N533" s="220">
        <f t="shared" si="110"/>
        <v>23</v>
      </c>
      <c r="O533" s="220">
        <f t="shared" si="110"/>
        <v>30</v>
      </c>
      <c r="P533" s="220">
        <f t="shared" si="110"/>
        <v>15</v>
      </c>
      <c r="Q533" s="220">
        <f t="shared" si="110"/>
        <v>10</v>
      </c>
      <c r="R533" s="220">
        <f t="shared" si="110"/>
        <v>9</v>
      </c>
      <c r="S533" s="220">
        <f t="shared" si="110"/>
        <v>7</v>
      </c>
      <c r="T533" s="220">
        <f t="shared" si="110"/>
        <v>6</v>
      </c>
      <c r="U533" s="220">
        <f>SUM(U520:U532)</f>
        <v>6</v>
      </c>
      <c r="W533" s="7">
        <v>206</v>
      </c>
    </row>
  </sheetData>
  <conditionalFormatting sqref="AJ8:AJ39">
    <cfRule type="expression" dxfId="23" priority="23">
      <formula>IF((H8&lt;AH8),1,0)</formula>
    </cfRule>
    <cfRule type="expression" dxfId="22" priority="24">
      <formula>IF((H8&gt;AH8),1,0)</formula>
    </cfRule>
  </conditionalFormatting>
  <conditionalFormatting sqref="AJ49:AJ81">
    <cfRule type="expression" dxfId="21" priority="21">
      <formula>IF((H49&lt;AH49),1,0)</formula>
    </cfRule>
    <cfRule type="expression" dxfId="20" priority="22">
      <formula>IF((H49&gt;AH49),1,0)</formula>
    </cfRule>
  </conditionalFormatting>
  <conditionalFormatting sqref="AJ91:AJ119">
    <cfRule type="expression" dxfId="19" priority="19">
      <formula>IF((H91&lt;AH91),1,0)</formula>
    </cfRule>
    <cfRule type="expression" dxfId="18" priority="20">
      <formula>IF((H91&gt;AH91),1,0)</formula>
    </cfRule>
  </conditionalFormatting>
  <conditionalFormatting sqref="AJ129:AJ157">
    <cfRule type="expression" dxfId="17" priority="17">
      <formula>IF((H129&lt;AH129),1,0)</formula>
    </cfRule>
    <cfRule type="expression" dxfId="16" priority="18">
      <formula>IF((H129&gt;AH129),1,0)</formula>
    </cfRule>
  </conditionalFormatting>
  <conditionalFormatting sqref="AJ167:AJ212">
    <cfRule type="expression" dxfId="15" priority="15">
      <formula>IF((H167&lt;AH167),1,0)</formula>
    </cfRule>
    <cfRule type="expression" dxfId="14" priority="16">
      <formula>IF((H167&gt;AH167),1,0)</formula>
    </cfRule>
  </conditionalFormatting>
  <conditionalFormatting sqref="AJ222:AJ255">
    <cfRule type="expression" dxfId="13" priority="13">
      <formula>IF((H222&lt;AH222),1,0)</formula>
    </cfRule>
    <cfRule type="expression" dxfId="12" priority="14">
      <formula>IF((H222&gt;AH222),1,0)</formula>
    </cfRule>
  </conditionalFormatting>
  <conditionalFormatting sqref="AJ265:AJ290">
    <cfRule type="expression" dxfId="11" priority="11">
      <formula>IF((H265&lt;AH265),1,0)</formula>
    </cfRule>
    <cfRule type="expression" dxfId="10" priority="12">
      <formula>IF((H265&gt;AH265),1,0)</formula>
    </cfRule>
  </conditionalFormatting>
  <conditionalFormatting sqref="AJ300:AJ316">
    <cfRule type="expression" dxfId="9" priority="9">
      <formula>IF((H300&lt;AH300),1,0)</formula>
    </cfRule>
    <cfRule type="expression" dxfId="8" priority="10">
      <formula>IF((H300&gt;AH300),1,0)</formula>
    </cfRule>
  </conditionalFormatting>
  <conditionalFormatting sqref="AJ326:AJ345">
    <cfRule type="expression" dxfId="7" priority="7">
      <formula>IF((H326&lt;AH326),1,0)</formula>
    </cfRule>
    <cfRule type="expression" dxfId="6" priority="8">
      <formula>IF((H326&gt;AH326),1,0)</formula>
    </cfRule>
  </conditionalFormatting>
  <conditionalFormatting sqref="AJ355:AJ391">
    <cfRule type="expression" dxfId="5" priority="5">
      <formula>IF((H355&lt;AH355),1,0)</formula>
    </cfRule>
    <cfRule type="expression" dxfId="4" priority="6">
      <formula>IF((H355&gt;AH355),1,0)</formula>
    </cfRule>
  </conditionalFormatting>
  <conditionalFormatting sqref="AJ401:AJ450">
    <cfRule type="expression" dxfId="3" priority="3">
      <formula>IF((H401&lt;AH401),1,0)</formula>
    </cfRule>
    <cfRule type="expression" dxfId="2" priority="4">
      <formula>IF((H401&gt;AH401),1,0)</formula>
    </cfRule>
  </conditionalFormatting>
  <conditionalFormatting sqref="AJ460:AJ489 AJ491:AJ492">
    <cfRule type="expression" dxfId="1" priority="1">
      <formula>IF((H460&lt;AH460),1,0)</formula>
    </cfRule>
    <cfRule type="expression" dxfId="0" priority="2">
      <formula>IF((H460&gt;AH460),1,0)</formula>
    </cfRule>
  </conditionalFormatting>
  <printOptions horizontalCentered="1" gridLines="1"/>
  <pageMargins left="0" right="0" top="0.39370078740157483" bottom="0" header="0" footer="0"/>
  <pageSetup paperSize="9" scale="43" orientation="landscape" r:id="rId1"/>
  <rowBreaks count="11" manualBreakCount="11">
    <brk id="41" max="16383" man="1"/>
    <brk id="83" max="35" man="1"/>
    <brk id="121" max="35" man="1"/>
    <brk id="159" max="35" man="1"/>
    <brk id="214" max="35" man="1"/>
    <brk id="257" max="35" man="1"/>
    <brk id="292" max="35" man="1"/>
    <brk id="318" max="35" man="1"/>
    <brk id="347" max="35" man="1"/>
    <brk id="393" max="35" man="1"/>
    <brk id="452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14"/>
  <sheetViews>
    <sheetView topLeftCell="A474" zoomScale="70" zoomScaleNormal="70" workbookViewId="0">
      <selection activeCell="H77" sqref="H77"/>
    </sheetView>
  </sheetViews>
  <sheetFormatPr defaultRowHeight="15" x14ac:dyDescent="0.2"/>
  <cols>
    <col min="1" max="1" width="35.77734375" bestFit="1" customWidth="1"/>
    <col min="2" max="2" width="4.5546875" style="7" hidden="1" customWidth="1"/>
    <col min="3" max="3" width="4.44140625" style="7" hidden="1" customWidth="1"/>
    <col min="4" max="4" width="4.44140625" style="9" hidden="1" customWidth="1"/>
    <col min="5" max="5" width="1.33203125" style="7" hidden="1" customWidth="1"/>
    <col min="6" max="6" width="6.21875" style="7" hidden="1" customWidth="1"/>
    <col min="7" max="7" width="13.109375" style="17" customWidth="1"/>
    <col min="8" max="8" width="13.21875" style="11" customWidth="1"/>
    <col min="9" max="9" width="8.21875" bestFit="1" customWidth="1"/>
    <col min="10" max="14" width="11.33203125" bestFit="1" customWidth="1"/>
    <col min="15" max="16" width="11.88671875" bestFit="1" customWidth="1"/>
    <col min="17" max="17" width="11.33203125" bestFit="1" customWidth="1"/>
    <col min="18" max="18" width="11.88671875" bestFit="1" customWidth="1"/>
    <col min="19" max="20" width="11.33203125" bestFit="1" customWidth="1"/>
    <col min="21" max="21" width="11.88671875" bestFit="1" customWidth="1"/>
    <col min="22" max="22" width="10" style="7" customWidth="1"/>
    <col min="23" max="23" width="12.33203125" bestFit="1" customWidth="1"/>
    <col min="24" max="24" width="3.6640625" customWidth="1"/>
    <col min="25" max="25" width="7.21875" customWidth="1"/>
    <col min="26" max="26" width="3.6640625" customWidth="1"/>
    <col min="27" max="29" width="12.33203125" style="6" customWidth="1"/>
    <col min="31" max="31" width="10.6640625" style="7" customWidth="1"/>
    <col min="32" max="33" width="8.88671875" customWidth="1"/>
    <col min="34" max="34" width="12.88671875" bestFit="1" customWidth="1"/>
  </cols>
  <sheetData>
    <row r="1" spans="1:31" ht="15.75" x14ac:dyDescent="0.25">
      <c r="G1" s="150" t="s">
        <v>0</v>
      </c>
      <c r="H1" s="13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3" spans="1:31" ht="16.5" x14ac:dyDescent="0.25">
      <c r="G3" s="18" t="s">
        <v>1072</v>
      </c>
      <c r="H3" s="12"/>
    </row>
    <row r="5" spans="1:31" ht="16.5" x14ac:dyDescent="0.25">
      <c r="A5" s="1" t="s">
        <v>1</v>
      </c>
      <c r="B5" s="145" t="s">
        <v>2</v>
      </c>
      <c r="C5" s="145" t="s">
        <v>3</v>
      </c>
      <c r="D5" s="149" t="s">
        <v>1039</v>
      </c>
      <c r="E5" s="145"/>
      <c r="F5" s="145" t="s">
        <v>1038</v>
      </c>
      <c r="G5" s="146" t="s">
        <v>1041</v>
      </c>
      <c r="H5" s="147" t="s">
        <v>1042</v>
      </c>
      <c r="I5" s="148" t="s">
        <v>1043</v>
      </c>
      <c r="J5" s="2">
        <v>43861</v>
      </c>
      <c r="K5" s="2">
        <v>43890</v>
      </c>
      <c r="L5" s="2">
        <v>43921</v>
      </c>
      <c r="M5" s="2">
        <v>43951</v>
      </c>
      <c r="N5" s="2">
        <v>43982</v>
      </c>
      <c r="O5" s="2">
        <v>44012</v>
      </c>
      <c r="P5" s="2">
        <v>44043</v>
      </c>
      <c r="Q5" s="2">
        <v>44074</v>
      </c>
      <c r="R5" s="2">
        <v>44104</v>
      </c>
      <c r="S5" s="2">
        <v>44135</v>
      </c>
      <c r="T5" s="2">
        <v>44165</v>
      </c>
      <c r="U5" s="2">
        <v>44196</v>
      </c>
      <c r="W5" s="156" t="s">
        <v>1044</v>
      </c>
      <c r="AA5" s="173">
        <v>44197</v>
      </c>
      <c r="AB5" s="173">
        <v>44228</v>
      </c>
      <c r="AC5" s="173">
        <v>44256</v>
      </c>
      <c r="AE5" s="16" t="s">
        <v>378</v>
      </c>
    </row>
    <row r="6" spans="1:31" ht="16.5" x14ac:dyDescent="0.25">
      <c r="A6" s="1"/>
      <c r="B6" s="8"/>
      <c r="C6" s="8"/>
      <c r="E6" s="8"/>
      <c r="F6" s="8"/>
      <c r="G6" s="146" t="s">
        <v>1040</v>
      </c>
      <c r="H6" s="147" t="s">
        <v>1040</v>
      </c>
      <c r="I6" s="1"/>
      <c r="J6" s="147" t="s">
        <v>1040</v>
      </c>
      <c r="K6" s="147" t="s">
        <v>1040</v>
      </c>
      <c r="L6" s="147" t="s">
        <v>1040</v>
      </c>
      <c r="M6" s="147" t="s">
        <v>1040</v>
      </c>
      <c r="N6" s="147" t="s">
        <v>1040</v>
      </c>
      <c r="O6" s="147" t="s">
        <v>1040</v>
      </c>
      <c r="P6" s="147" t="s">
        <v>1040</v>
      </c>
      <c r="Q6" s="147" t="s">
        <v>1040</v>
      </c>
      <c r="R6" s="147" t="s">
        <v>1040</v>
      </c>
      <c r="S6" s="147" t="s">
        <v>1040</v>
      </c>
      <c r="T6" s="147" t="s">
        <v>1040</v>
      </c>
      <c r="U6" s="147" t="s">
        <v>1040</v>
      </c>
      <c r="V6" s="8"/>
      <c r="X6" s="1"/>
      <c r="Y6" s="1"/>
      <c r="Z6" s="1"/>
      <c r="AA6" s="174" t="s">
        <v>1040</v>
      </c>
      <c r="AB6" s="174" t="s">
        <v>1040</v>
      </c>
      <c r="AC6" s="174" t="s">
        <v>1040</v>
      </c>
    </row>
    <row r="7" spans="1:31" x14ac:dyDescent="0.2">
      <c r="W7" s="11"/>
    </row>
    <row r="8" spans="1:31" x14ac:dyDescent="0.2">
      <c r="A8" s="143" t="s">
        <v>18</v>
      </c>
      <c r="B8" s="9" t="s">
        <v>495</v>
      </c>
      <c r="C8" s="9" t="s">
        <v>495</v>
      </c>
      <c r="D8" s="9" t="s">
        <v>495</v>
      </c>
      <c r="E8" s="9"/>
      <c r="F8" s="9">
        <v>0</v>
      </c>
      <c r="G8" s="4">
        <v>25503</v>
      </c>
      <c r="H8" s="4">
        <f>SUM(J8:U8)+SUM(AA8:AC8)</f>
        <v>16778.68</v>
      </c>
      <c r="I8" s="24">
        <f>ROUND((H8/G8),4)</f>
        <v>0.65790000000000004</v>
      </c>
      <c r="J8" s="23">
        <v>2175</v>
      </c>
      <c r="K8" s="23">
        <v>2120.8000000000002</v>
      </c>
      <c r="L8" s="23">
        <v>2120.7199999999998</v>
      </c>
      <c r="M8" s="23">
        <v>2120.7199999999998</v>
      </c>
      <c r="N8" s="23">
        <v>2120.7199999999998</v>
      </c>
      <c r="O8" s="23">
        <v>2120.7199999999998</v>
      </c>
      <c r="P8" s="23">
        <v>0</v>
      </c>
      <c r="Q8" s="23">
        <v>0</v>
      </c>
      <c r="R8" s="23">
        <v>0</v>
      </c>
      <c r="S8" s="23">
        <v>0</v>
      </c>
      <c r="T8" s="23"/>
      <c r="U8" s="23">
        <v>4000</v>
      </c>
      <c r="V8" s="7" t="s">
        <v>496</v>
      </c>
      <c r="W8" s="3">
        <f t="shared" ref="W8:W39" si="0">G8-H8</f>
        <v>8724.32</v>
      </c>
      <c r="AA8" s="82"/>
      <c r="AB8" s="82"/>
      <c r="AC8" s="82"/>
      <c r="AE8" s="7" t="s">
        <v>379</v>
      </c>
    </row>
    <row r="9" spans="1:31" x14ac:dyDescent="0.2">
      <c r="A9" s="143" t="s">
        <v>19</v>
      </c>
      <c r="B9" s="9" t="s">
        <v>495</v>
      </c>
      <c r="C9" s="9" t="s">
        <v>495</v>
      </c>
      <c r="D9" s="9" t="s">
        <v>495</v>
      </c>
      <c r="E9" s="9"/>
      <c r="F9" s="9" t="s">
        <v>495</v>
      </c>
      <c r="G9" s="4">
        <v>13116</v>
      </c>
      <c r="H9" s="4">
        <f t="shared" ref="H9:H36" si="1">SUM(J9:U9)+SUM(AA9:AC9)</f>
        <v>4500</v>
      </c>
      <c r="I9" s="24">
        <f t="shared" ref="I9:I37" si="2">ROUND((H9/G9),4)</f>
        <v>0.34310000000000002</v>
      </c>
      <c r="J9" s="23">
        <v>1000</v>
      </c>
      <c r="K9" s="23">
        <v>1000</v>
      </c>
      <c r="L9" s="23">
        <v>1000</v>
      </c>
      <c r="M9" s="23">
        <v>1000</v>
      </c>
      <c r="N9" s="23"/>
      <c r="O9" s="23"/>
      <c r="P9" s="23"/>
      <c r="Q9" s="23">
        <v>100</v>
      </c>
      <c r="R9" s="23">
        <v>100</v>
      </c>
      <c r="S9" s="23">
        <v>100</v>
      </c>
      <c r="T9" s="23">
        <v>100</v>
      </c>
      <c r="U9" s="23">
        <v>100</v>
      </c>
      <c r="V9" s="7" t="s">
        <v>497</v>
      </c>
      <c r="W9" s="3">
        <f t="shared" si="0"/>
        <v>8616</v>
      </c>
      <c r="AA9" s="82"/>
      <c r="AB9" s="82"/>
      <c r="AC9" s="82"/>
      <c r="AE9" s="7" t="s">
        <v>379</v>
      </c>
    </row>
    <row r="10" spans="1:31" x14ac:dyDescent="0.2">
      <c r="A10" s="143" t="s">
        <v>20</v>
      </c>
      <c r="B10" s="9" t="s">
        <v>495</v>
      </c>
      <c r="C10" s="9" t="s">
        <v>495</v>
      </c>
      <c r="D10" s="9" t="s">
        <v>495</v>
      </c>
      <c r="E10" s="9"/>
      <c r="F10" s="9">
        <v>0</v>
      </c>
      <c r="G10" s="4">
        <v>18217</v>
      </c>
      <c r="H10" s="4">
        <f t="shared" si="1"/>
        <v>10000.000000000002</v>
      </c>
      <c r="I10" s="24">
        <f t="shared" si="2"/>
        <v>0.54890000000000005</v>
      </c>
      <c r="J10" s="23">
        <v>1650</v>
      </c>
      <c r="K10" s="23">
        <v>1840.84</v>
      </c>
      <c r="L10" s="23">
        <v>1840.77</v>
      </c>
      <c r="M10" s="23">
        <v>1840.77</v>
      </c>
      <c r="N10" s="23">
        <v>1840.77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/>
      <c r="U10" s="23"/>
      <c r="V10" s="7" t="s">
        <v>498</v>
      </c>
      <c r="W10" s="3">
        <f t="shared" si="0"/>
        <v>8216.9999999999982</v>
      </c>
      <c r="AA10" s="82">
        <v>986.85</v>
      </c>
      <c r="AB10" s="82"/>
      <c r="AC10" s="82"/>
      <c r="AE10" s="7" t="s">
        <v>379</v>
      </c>
    </row>
    <row r="11" spans="1:31" x14ac:dyDescent="0.2">
      <c r="A11" s="143" t="s">
        <v>21</v>
      </c>
      <c r="B11" s="9" t="s">
        <v>495</v>
      </c>
      <c r="C11" s="9" t="s">
        <v>495</v>
      </c>
      <c r="D11" s="9">
        <v>0</v>
      </c>
      <c r="E11" s="9"/>
      <c r="F11" s="9">
        <v>0</v>
      </c>
      <c r="G11" s="4">
        <v>75291</v>
      </c>
      <c r="H11" s="4">
        <f t="shared" si="1"/>
        <v>75291</v>
      </c>
      <c r="I11" s="24">
        <f t="shared" si="2"/>
        <v>1</v>
      </c>
      <c r="J11" s="23">
        <v>0</v>
      </c>
      <c r="K11" s="23">
        <v>7791</v>
      </c>
      <c r="L11" s="23">
        <v>7500</v>
      </c>
      <c r="M11" s="23"/>
      <c r="N11" s="23">
        <v>15000</v>
      </c>
      <c r="O11" s="23">
        <v>7500</v>
      </c>
      <c r="P11" s="23"/>
      <c r="Q11" s="23">
        <v>7500</v>
      </c>
      <c r="R11" s="23">
        <v>7500</v>
      </c>
      <c r="S11" s="23">
        <v>7500</v>
      </c>
      <c r="T11" s="23">
        <v>15000</v>
      </c>
      <c r="U11" s="23"/>
      <c r="V11" s="7" t="s">
        <v>499</v>
      </c>
      <c r="W11" s="3">
        <f t="shared" si="0"/>
        <v>0</v>
      </c>
      <c r="AA11" s="82"/>
      <c r="AB11" s="82"/>
      <c r="AC11" s="82"/>
      <c r="AE11" s="7" t="s">
        <v>380</v>
      </c>
    </row>
    <row r="12" spans="1:31" x14ac:dyDescent="0.2">
      <c r="A12" s="143" t="s">
        <v>22</v>
      </c>
      <c r="B12" s="9" t="s">
        <v>495</v>
      </c>
      <c r="C12" s="9" t="s">
        <v>495</v>
      </c>
      <c r="D12" s="9" t="s">
        <v>495</v>
      </c>
      <c r="E12" s="9"/>
      <c r="F12" s="9">
        <v>0</v>
      </c>
      <c r="G12" s="4">
        <v>22228</v>
      </c>
      <c r="H12" s="4">
        <f t="shared" si="1"/>
        <v>22236</v>
      </c>
      <c r="I12" s="24">
        <f t="shared" si="2"/>
        <v>1.0004</v>
      </c>
      <c r="J12" s="23">
        <v>1853</v>
      </c>
      <c r="K12" s="23">
        <v>1853</v>
      </c>
      <c r="L12" s="23">
        <v>1853</v>
      </c>
      <c r="M12" s="23">
        <v>1853</v>
      </c>
      <c r="N12" s="23">
        <v>1853</v>
      </c>
      <c r="O12" s="23">
        <v>1853</v>
      </c>
      <c r="P12" s="23">
        <v>1853</v>
      </c>
      <c r="Q12" s="23">
        <v>1853</v>
      </c>
      <c r="R12" s="23">
        <v>1853</v>
      </c>
      <c r="S12" s="23">
        <v>1853</v>
      </c>
      <c r="T12" s="23">
        <v>1853</v>
      </c>
      <c r="U12" s="23">
        <v>1853</v>
      </c>
      <c r="V12" s="7" t="s">
        <v>500</v>
      </c>
      <c r="W12" s="3">
        <f t="shared" si="0"/>
        <v>-8</v>
      </c>
      <c r="AA12" s="82"/>
      <c r="AB12" s="82"/>
      <c r="AC12" s="82"/>
      <c r="AE12" s="7" t="s">
        <v>381</v>
      </c>
    </row>
    <row r="13" spans="1:31" x14ac:dyDescent="0.2">
      <c r="A13" s="143" t="s">
        <v>23</v>
      </c>
      <c r="B13" s="9" t="s">
        <v>495</v>
      </c>
      <c r="C13" s="9" t="s">
        <v>495</v>
      </c>
      <c r="D13" s="9">
        <v>0</v>
      </c>
      <c r="E13" s="9"/>
      <c r="F13" s="9" t="s">
        <v>495</v>
      </c>
      <c r="G13" s="4">
        <v>16302</v>
      </c>
      <c r="H13" s="4">
        <f t="shared" si="1"/>
        <v>8700</v>
      </c>
      <c r="I13" s="24">
        <f t="shared" si="2"/>
        <v>0.53369999999999995</v>
      </c>
      <c r="J13" s="23">
        <v>2100</v>
      </c>
      <c r="K13" s="23">
        <v>600</v>
      </c>
      <c r="L13" s="23">
        <v>600</v>
      </c>
      <c r="M13" s="23">
        <v>600</v>
      </c>
      <c r="N13" s="23">
        <v>600</v>
      </c>
      <c r="O13" s="23">
        <v>600</v>
      </c>
      <c r="P13" s="23">
        <v>600</v>
      </c>
      <c r="Q13" s="23">
        <v>600</v>
      </c>
      <c r="R13" s="23">
        <v>600</v>
      </c>
      <c r="S13" s="23">
        <v>600</v>
      </c>
      <c r="T13" s="23">
        <v>600</v>
      </c>
      <c r="U13" s="23">
        <v>600</v>
      </c>
      <c r="V13" s="7" t="s">
        <v>501</v>
      </c>
      <c r="W13" s="3">
        <f t="shared" si="0"/>
        <v>7602</v>
      </c>
      <c r="AA13" s="82"/>
      <c r="AB13" s="82"/>
      <c r="AC13" s="82"/>
      <c r="AE13" s="7" t="s">
        <v>381</v>
      </c>
    </row>
    <row r="14" spans="1:31" x14ac:dyDescent="0.2">
      <c r="A14" s="143" t="s">
        <v>24</v>
      </c>
      <c r="B14" s="9" t="s">
        <v>495</v>
      </c>
      <c r="C14" s="9" t="s">
        <v>495</v>
      </c>
      <c r="D14" s="9" t="s">
        <v>495</v>
      </c>
      <c r="E14" s="9"/>
      <c r="F14" s="9">
        <v>0</v>
      </c>
      <c r="G14" s="4">
        <v>15269</v>
      </c>
      <c r="H14" s="4">
        <f t="shared" si="1"/>
        <v>1795</v>
      </c>
      <c r="I14" s="24">
        <f t="shared" si="2"/>
        <v>0.1176</v>
      </c>
      <c r="J14" s="23">
        <v>0</v>
      </c>
      <c r="K14" s="23">
        <v>700</v>
      </c>
      <c r="L14" s="23"/>
      <c r="M14" s="23"/>
      <c r="N14" s="23"/>
      <c r="O14" s="23"/>
      <c r="P14" s="23"/>
      <c r="Q14" s="23"/>
      <c r="R14" s="23"/>
      <c r="S14" s="23">
        <v>1095</v>
      </c>
      <c r="T14" s="23"/>
      <c r="U14" s="23"/>
      <c r="V14" s="7" t="s">
        <v>502</v>
      </c>
      <c r="W14" s="3">
        <f t="shared" si="0"/>
        <v>13474</v>
      </c>
      <c r="AA14" s="82"/>
      <c r="AB14" s="82"/>
      <c r="AC14" s="82"/>
      <c r="AE14" s="7" t="s">
        <v>382</v>
      </c>
    </row>
    <row r="15" spans="1:31" x14ac:dyDescent="0.2">
      <c r="A15" s="143" t="s">
        <v>25</v>
      </c>
      <c r="B15" s="9" t="s">
        <v>495</v>
      </c>
      <c r="C15" s="9" t="s">
        <v>495</v>
      </c>
      <c r="D15" s="9" t="s">
        <v>495</v>
      </c>
      <c r="E15" s="9"/>
      <c r="F15" s="9">
        <v>0</v>
      </c>
      <c r="G15" s="4">
        <v>4976</v>
      </c>
      <c r="H15" s="4">
        <f t="shared" si="1"/>
        <v>4976</v>
      </c>
      <c r="I15" s="24">
        <f t="shared" si="2"/>
        <v>1</v>
      </c>
      <c r="J15" s="23">
        <v>0</v>
      </c>
      <c r="K15" s="23"/>
      <c r="L15" s="23">
        <v>500</v>
      </c>
      <c r="M15" s="23"/>
      <c r="N15" s="23"/>
      <c r="O15" s="23"/>
      <c r="P15" s="23"/>
      <c r="Q15" s="23"/>
      <c r="R15" s="23">
        <v>2000</v>
      </c>
      <c r="S15" s="23"/>
      <c r="T15" s="23"/>
      <c r="U15" s="23">
        <v>2476</v>
      </c>
      <c r="V15" s="7" t="s">
        <v>503</v>
      </c>
      <c r="W15" s="3">
        <f t="shared" si="0"/>
        <v>0</v>
      </c>
      <c r="AA15" s="82"/>
      <c r="AB15" s="82"/>
      <c r="AC15" s="82"/>
      <c r="AE15" s="7" t="s">
        <v>382</v>
      </c>
    </row>
    <row r="16" spans="1:31" x14ac:dyDescent="0.2">
      <c r="A16" s="143" t="s">
        <v>26</v>
      </c>
      <c r="B16" s="9" t="s">
        <v>495</v>
      </c>
      <c r="C16" s="9" t="s">
        <v>495</v>
      </c>
      <c r="D16" s="9" t="s">
        <v>495</v>
      </c>
      <c r="E16" s="9"/>
      <c r="F16" s="9">
        <v>0</v>
      </c>
      <c r="G16" s="4">
        <v>10868</v>
      </c>
      <c r="H16" s="4">
        <f t="shared" si="1"/>
        <v>10868</v>
      </c>
      <c r="I16" s="24">
        <f t="shared" si="2"/>
        <v>1</v>
      </c>
      <c r="J16" s="23">
        <v>400</v>
      </c>
      <c r="K16" s="23">
        <v>400</v>
      </c>
      <c r="L16" s="23">
        <v>400</v>
      </c>
      <c r="M16" s="23">
        <v>400</v>
      </c>
      <c r="N16" s="23">
        <v>400</v>
      </c>
      <c r="O16" s="23">
        <v>400</v>
      </c>
      <c r="P16" s="23">
        <v>400</v>
      </c>
      <c r="Q16" s="23">
        <v>400</v>
      </c>
      <c r="R16" s="23">
        <v>400</v>
      </c>
      <c r="S16" s="23">
        <v>400</v>
      </c>
      <c r="T16" s="23">
        <v>400</v>
      </c>
      <c r="U16" s="82">
        <v>400</v>
      </c>
      <c r="V16" s="7" t="s">
        <v>504</v>
      </c>
      <c r="W16" s="3">
        <f t="shared" si="0"/>
        <v>0</v>
      </c>
      <c r="AA16" s="82"/>
      <c r="AB16" s="175">
        <v>6068</v>
      </c>
      <c r="AC16" s="82"/>
      <c r="AE16" s="7" t="s">
        <v>381</v>
      </c>
    </row>
    <row r="17" spans="1:31" x14ac:dyDescent="0.2">
      <c r="A17" s="143" t="s">
        <v>27</v>
      </c>
      <c r="B17" s="9" t="s">
        <v>495</v>
      </c>
      <c r="C17" s="9" t="s">
        <v>495</v>
      </c>
      <c r="D17" s="9">
        <v>0</v>
      </c>
      <c r="E17" s="9"/>
      <c r="F17" s="9">
        <v>0</v>
      </c>
      <c r="G17" s="4">
        <v>14860</v>
      </c>
      <c r="H17" s="4">
        <f t="shared" si="1"/>
        <v>14860</v>
      </c>
      <c r="I17" s="24">
        <f t="shared" si="2"/>
        <v>1</v>
      </c>
      <c r="J17" s="23">
        <v>0</v>
      </c>
      <c r="K17" s="23"/>
      <c r="L17" s="23"/>
      <c r="M17" s="23"/>
      <c r="N17" s="23"/>
      <c r="O17" s="23"/>
      <c r="P17" s="23">
        <v>10000</v>
      </c>
      <c r="Q17" s="23"/>
      <c r="R17" s="23"/>
      <c r="S17" s="23"/>
      <c r="T17" s="23"/>
      <c r="U17" s="82">
        <v>2250</v>
      </c>
      <c r="V17" s="7" t="s">
        <v>505</v>
      </c>
      <c r="W17" s="3">
        <f t="shared" si="0"/>
        <v>0</v>
      </c>
      <c r="AA17" s="82"/>
      <c r="AB17" s="175">
        <v>2610</v>
      </c>
      <c r="AC17" s="82"/>
      <c r="AE17" s="7" t="s">
        <v>382</v>
      </c>
    </row>
    <row r="18" spans="1:31" x14ac:dyDescent="0.2">
      <c r="A18" s="143" t="s">
        <v>28</v>
      </c>
      <c r="B18" s="9" t="s">
        <v>495</v>
      </c>
      <c r="C18" s="9" t="s">
        <v>495</v>
      </c>
      <c r="D18" s="9" t="s">
        <v>495</v>
      </c>
      <c r="E18" s="9"/>
      <c r="F18" s="9">
        <v>0</v>
      </c>
      <c r="G18" s="4">
        <v>10083</v>
      </c>
      <c r="H18" s="4">
        <f t="shared" si="1"/>
        <v>6000</v>
      </c>
      <c r="I18" s="24">
        <f t="shared" si="2"/>
        <v>0.59509999999999996</v>
      </c>
      <c r="J18" s="23">
        <v>1000</v>
      </c>
      <c r="K18" s="23">
        <v>1000</v>
      </c>
      <c r="L18" s="23">
        <v>1000</v>
      </c>
      <c r="M18" s="23"/>
      <c r="N18" s="23"/>
      <c r="O18" s="23"/>
      <c r="P18" s="23"/>
      <c r="Q18" s="23"/>
      <c r="R18" s="23"/>
      <c r="S18" s="23"/>
      <c r="T18" s="23"/>
      <c r="U18" s="82">
        <v>3000</v>
      </c>
      <c r="V18" s="7" t="s">
        <v>506</v>
      </c>
      <c r="W18" s="3">
        <f t="shared" si="0"/>
        <v>4083</v>
      </c>
      <c r="AA18" s="82"/>
      <c r="AB18" s="82"/>
      <c r="AC18" s="82"/>
      <c r="AE18" s="7" t="s">
        <v>382</v>
      </c>
    </row>
    <row r="19" spans="1:31" x14ac:dyDescent="0.2">
      <c r="A19" s="143" t="s">
        <v>29</v>
      </c>
      <c r="B19" s="9" t="s">
        <v>495</v>
      </c>
      <c r="C19" s="9" t="s">
        <v>495</v>
      </c>
      <c r="D19" s="9" t="s">
        <v>495</v>
      </c>
      <c r="E19" s="9"/>
      <c r="F19" s="9">
        <v>0</v>
      </c>
      <c r="G19" s="4">
        <v>5788</v>
      </c>
      <c r="H19" s="4">
        <f t="shared" si="1"/>
        <v>2500</v>
      </c>
      <c r="I19" s="24">
        <f t="shared" si="2"/>
        <v>0.43190000000000001</v>
      </c>
      <c r="J19" s="23">
        <v>0</v>
      </c>
      <c r="K19" s="23">
        <v>1000</v>
      </c>
      <c r="L19" s="23"/>
      <c r="M19" s="23"/>
      <c r="N19" s="23"/>
      <c r="O19" s="23"/>
      <c r="P19" s="23"/>
      <c r="Q19" s="23"/>
      <c r="R19" s="23"/>
      <c r="S19" s="23"/>
      <c r="T19" s="23"/>
      <c r="U19" s="82">
        <v>1490</v>
      </c>
      <c r="V19" s="7" t="s">
        <v>507</v>
      </c>
      <c r="W19" s="3">
        <f t="shared" si="0"/>
        <v>3288</v>
      </c>
      <c r="AA19" s="82"/>
      <c r="AB19" s="82">
        <v>10</v>
      </c>
      <c r="AC19" s="82"/>
      <c r="AE19" s="7" t="s">
        <v>382</v>
      </c>
    </row>
    <row r="20" spans="1:31" x14ac:dyDescent="0.2">
      <c r="A20" s="143" t="s">
        <v>30</v>
      </c>
      <c r="B20" s="9" t="s">
        <v>495</v>
      </c>
      <c r="C20" s="9" t="s">
        <v>495</v>
      </c>
      <c r="D20" s="9" t="s">
        <v>495</v>
      </c>
      <c r="E20" s="9"/>
      <c r="F20" s="9">
        <v>0</v>
      </c>
      <c r="G20" s="4">
        <v>8015</v>
      </c>
      <c r="H20" s="4">
        <f t="shared" si="1"/>
        <v>3643</v>
      </c>
      <c r="I20" s="24">
        <f t="shared" si="2"/>
        <v>0.45450000000000002</v>
      </c>
      <c r="J20" s="23">
        <v>0</v>
      </c>
      <c r="K20" s="23"/>
      <c r="L20" s="23"/>
      <c r="M20" s="23"/>
      <c r="N20" s="23"/>
      <c r="O20" s="23"/>
      <c r="P20" s="23"/>
      <c r="Q20" s="23"/>
      <c r="R20" s="23"/>
      <c r="S20" s="23">
        <v>3643</v>
      </c>
      <c r="T20" s="23"/>
      <c r="U20" s="23"/>
      <c r="V20" s="7" t="s">
        <v>508</v>
      </c>
      <c r="W20" s="3">
        <f t="shared" si="0"/>
        <v>4372</v>
      </c>
      <c r="AA20" s="82"/>
      <c r="AB20" s="82"/>
      <c r="AC20" s="82"/>
      <c r="AE20" s="7" t="s">
        <v>379</v>
      </c>
    </row>
    <row r="21" spans="1:31" x14ac:dyDescent="0.2">
      <c r="A21" s="143" t="s">
        <v>31</v>
      </c>
      <c r="B21" s="9" t="s">
        <v>495</v>
      </c>
      <c r="C21" s="9">
        <v>0</v>
      </c>
      <c r="D21" s="9">
        <v>0</v>
      </c>
      <c r="E21" s="9"/>
      <c r="F21" s="9" t="s">
        <v>495</v>
      </c>
      <c r="G21" s="4">
        <v>8015</v>
      </c>
      <c r="H21" s="4">
        <f t="shared" si="1"/>
        <v>8015.0000000000009</v>
      </c>
      <c r="I21" s="24">
        <f t="shared" si="2"/>
        <v>1</v>
      </c>
      <c r="J21" s="23">
        <v>600</v>
      </c>
      <c r="K21" s="23">
        <v>674.1</v>
      </c>
      <c r="L21" s="23">
        <v>674.09</v>
      </c>
      <c r="M21" s="23">
        <v>674.09</v>
      </c>
      <c r="N21" s="23">
        <v>674.09</v>
      </c>
      <c r="O21" s="23">
        <v>674.09</v>
      </c>
      <c r="P21" s="23">
        <v>674.09</v>
      </c>
      <c r="Q21" s="23">
        <v>674.09</v>
      </c>
      <c r="R21" s="23">
        <v>674.09</v>
      </c>
      <c r="S21" s="23">
        <v>674.09</v>
      </c>
      <c r="T21" s="23">
        <v>674.09</v>
      </c>
      <c r="U21" s="23">
        <v>674.09</v>
      </c>
      <c r="V21" s="7" t="s">
        <v>509</v>
      </c>
      <c r="W21" s="3">
        <f t="shared" si="0"/>
        <v>0</v>
      </c>
      <c r="AA21" s="82"/>
      <c r="AB21" s="82"/>
      <c r="AC21" s="82"/>
      <c r="AE21" s="7" t="s">
        <v>379</v>
      </c>
    </row>
    <row r="22" spans="1:31" x14ac:dyDescent="0.2">
      <c r="A22" s="143" t="s">
        <v>32</v>
      </c>
      <c r="B22" s="9">
        <v>0</v>
      </c>
      <c r="C22" s="9" t="s">
        <v>495</v>
      </c>
      <c r="D22" s="9" t="s">
        <v>495</v>
      </c>
      <c r="E22" s="9"/>
      <c r="F22" s="9">
        <v>0</v>
      </c>
      <c r="G22" s="4">
        <v>9804</v>
      </c>
      <c r="H22" s="4">
        <f t="shared" si="1"/>
        <v>7125</v>
      </c>
      <c r="I22" s="24">
        <f t="shared" si="2"/>
        <v>0.72670000000000001</v>
      </c>
      <c r="J22" s="23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>
        <v>7125</v>
      </c>
      <c r="U22" s="23"/>
      <c r="V22" s="7" t="s">
        <v>510</v>
      </c>
      <c r="W22" s="3">
        <f t="shared" si="0"/>
        <v>2679</v>
      </c>
      <c r="AA22" s="82"/>
      <c r="AB22" s="82"/>
      <c r="AC22" s="82"/>
      <c r="AE22" s="7" t="s">
        <v>383</v>
      </c>
    </row>
    <row r="23" spans="1:31" x14ac:dyDescent="0.2">
      <c r="A23" s="143" t="s">
        <v>374</v>
      </c>
      <c r="B23" s="9" t="s">
        <v>495</v>
      </c>
      <c r="C23" s="9" t="s">
        <v>495</v>
      </c>
      <c r="D23" s="9" t="s">
        <v>495</v>
      </c>
      <c r="E23" s="9"/>
      <c r="F23" s="9">
        <v>0</v>
      </c>
      <c r="G23" s="4">
        <v>25574</v>
      </c>
      <c r="H23" s="4">
        <f t="shared" si="1"/>
        <v>53176</v>
      </c>
      <c r="I23" s="24">
        <f t="shared" si="2"/>
        <v>2.0792999999999999</v>
      </c>
      <c r="J23" s="23">
        <v>0</v>
      </c>
      <c r="K23" s="23"/>
      <c r="L23" s="23"/>
      <c r="M23" s="23">
        <v>10121</v>
      </c>
      <c r="N23" s="23"/>
      <c r="O23" s="23"/>
      <c r="P23" s="23">
        <v>16940</v>
      </c>
      <c r="Q23" s="23"/>
      <c r="R23" s="23"/>
      <c r="S23" s="23">
        <v>14516</v>
      </c>
      <c r="T23" s="23"/>
      <c r="U23" s="23"/>
      <c r="V23" s="7" t="s">
        <v>511</v>
      </c>
      <c r="W23" s="3">
        <f t="shared" si="0"/>
        <v>-27602</v>
      </c>
      <c r="AA23" s="175">
        <v>11599</v>
      </c>
      <c r="AB23" s="82"/>
      <c r="AC23" s="82"/>
      <c r="AE23" s="158" t="s">
        <v>384</v>
      </c>
    </row>
    <row r="24" spans="1:31" x14ac:dyDescent="0.2">
      <c r="A24" s="143" t="s">
        <v>33</v>
      </c>
      <c r="B24" s="9">
        <v>0</v>
      </c>
      <c r="C24" s="9" t="s">
        <v>495</v>
      </c>
      <c r="D24" s="9">
        <v>0</v>
      </c>
      <c r="E24" s="9"/>
      <c r="F24" s="9" t="s">
        <v>495</v>
      </c>
      <c r="G24" s="4">
        <v>50085</v>
      </c>
      <c r="H24" s="4">
        <f t="shared" si="1"/>
        <v>39580.270000000011</v>
      </c>
      <c r="I24" s="24">
        <f t="shared" si="2"/>
        <v>0.7903</v>
      </c>
      <c r="J24" s="23">
        <v>4033.33</v>
      </c>
      <c r="K24" s="23">
        <v>4186.57</v>
      </c>
      <c r="L24" s="23">
        <v>4186.51</v>
      </c>
      <c r="M24" s="23">
        <v>4186.51</v>
      </c>
      <c r="N24" s="23">
        <v>4186.51</v>
      </c>
      <c r="O24" s="23">
        <v>4186.51</v>
      </c>
      <c r="P24" s="23">
        <v>4186.51</v>
      </c>
      <c r="Q24" s="23">
        <v>4186.51</v>
      </c>
      <c r="R24" s="23">
        <v>4186.51</v>
      </c>
      <c r="S24" s="23"/>
      <c r="T24" s="23"/>
      <c r="U24" s="23">
        <v>2054.8000000000002</v>
      </c>
      <c r="V24" s="7" t="s">
        <v>512</v>
      </c>
      <c r="W24" s="3">
        <f t="shared" si="0"/>
        <v>10504.729999999989</v>
      </c>
      <c r="AA24" s="82"/>
      <c r="AB24" s="82"/>
      <c r="AC24" s="82"/>
      <c r="AE24" s="7" t="s">
        <v>385</v>
      </c>
    </row>
    <row r="25" spans="1:31" x14ac:dyDescent="0.2">
      <c r="A25" s="143" t="s">
        <v>34</v>
      </c>
      <c r="B25" s="9" t="s">
        <v>495</v>
      </c>
      <c r="C25" s="9">
        <v>0</v>
      </c>
      <c r="D25" s="9" t="s">
        <v>495</v>
      </c>
      <c r="E25" s="9"/>
      <c r="F25" s="9" t="s">
        <v>495</v>
      </c>
      <c r="G25" s="4">
        <v>20033</v>
      </c>
      <c r="H25" s="4">
        <f t="shared" si="1"/>
        <v>16683.98</v>
      </c>
      <c r="I25" s="24">
        <f t="shared" si="2"/>
        <v>0.83279999999999998</v>
      </c>
      <c r="J25" s="23">
        <v>1613.33</v>
      </c>
      <c r="K25" s="23">
        <v>1674.57</v>
      </c>
      <c r="L25" s="23">
        <v>1674.51</v>
      </c>
      <c r="M25" s="23">
        <v>1674.51</v>
      </c>
      <c r="N25" s="23">
        <v>1674.51</v>
      </c>
      <c r="O25" s="23">
        <v>1674.51</v>
      </c>
      <c r="P25" s="23">
        <v>1674.51</v>
      </c>
      <c r="Q25" s="23">
        <v>1674.51</v>
      </c>
      <c r="R25" s="23">
        <v>1674.51</v>
      </c>
      <c r="S25" s="23">
        <v>1674.51</v>
      </c>
      <c r="T25" s="23"/>
      <c r="U25" s="23"/>
      <c r="V25" s="7" t="s">
        <v>513</v>
      </c>
      <c r="W25" s="3">
        <f t="shared" si="0"/>
        <v>3349.0200000000004</v>
      </c>
      <c r="AA25" s="82"/>
      <c r="AB25" s="82"/>
      <c r="AC25" s="82"/>
      <c r="AE25" s="7" t="s">
        <v>385</v>
      </c>
    </row>
    <row r="26" spans="1:31" x14ac:dyDescent="0.2">
      <c r="A26" s="143" t="s">
        <v>35</v>
      </c>
      <c r="B26" s="9">
        <v>0</v>
      </c>
      <c r="C26" s="9" t="s">
        <v>495</v>
      </c>
      <c r="D26" s="9">
        <v>0</v>
      </c>
      <c r="E26" s="9"/>
      <c r="F26" s="9" t="s">
        <v>495</v>
      </c>
      <c r="G26" s="4">
        <v>10083</v>
      </c>
      <c r="H26" s="4">
        <f t="shared" si="1"/>
        <v>7413.51</v>
      </c>
      <c r="I26" s="24">
        <f t="shared" si="2"/>
        <v>0.73519999999999996</v>
      </c>
      <c r="J26" s="23">
        <v>759.37</v>
      </c>
      <c r="K26" s="23">
        <v>759.37</v>
      </c>
      <c r="L26" s="23">
        <v>759.37</v>
      </c>
      <c r="M26" s="23">
        <v>0</v>
      </c>
      <c r="N26" s="23"/>
      <c r="O26" s="23"/>
      <c r="P26" s="23"/>
      <c r="Q26" s="23">
        <v>1711.8</v>
      </c>
      <c r="R26" s="23">
        <v>1711.8</v>
      </c>
      <c r="S26" s="23">
        <v>1711.8</v>
      </c>
      <c r="T26" s="23"/>
      <c r="U26" s="23"/>
      <c r="V26" s="7" t="s">
        <v>514</v>
      </c>
      <c r="W26" s="3">
        <f t="shared" si="0"/>
        <v>2669.49</v>
      </c>
      <c r="AA26" s="82"/>
      <c r="AB26" s="82"/>
      <c r="AC26" s="82"/>
      <c r="AE26" s="7" t="s">
        <v>383</v>
      </c>
    </row>
    <row r="27" spans="1:31" x14ac:dyDescent="0.2">
      <c r="A27" s="143" t="s">
        <v>36</v>
      </c>
      <c r="B27" s="9" t="s">
        <v>495</v>
      </c>
      <c r="C27" s="9" t="s">
        <v>495</v>
      </c>
      <c r="D27" s="9" t="s">
        <v>495</v>
      </c>
      <c r="E27" s="9"/>
      <c r="F27" s="9" t="s">
        <v>495</v>
      </c>
      <c r="G27" s="4">
        <v>6161</v>
      </c>
      <c r="H27" s="4">
        <f t="shared" si="1"/>
        <v>6161</v>
      </c>
      <c r="I27" s="24">
        <f t="shared" si="2"/>
        <v>1</v>
      </c>
      <c r="J27" s="23">
        <v>679.81</v>
      </c>
      <c r="K27" s="23">
        <v>679.81</v>
      </c>
      <c r="L27" s="23">
        <v>679.81</v>
      </c>
      <c r="M27" s="23">
        <v>0</v>
      </c>
      <c r="N27" s="23"/>
      <c r="O27" s="23"/>
      <c r="P27" s="23"/>
      <c r="Q27" s="23">
        <v>3399.05</v>
      </c>
      <c r="R27" s="23">
        <v>180.63</v>
      </c>
      <c r="S27" s="23">
        <v>180.63</v>
      </c>
      <c r="T27" s="23">
        <v>180.63</v>
      </c>
      <c r="U27" s="23">
        <v>180.63</v>
      </c>
      <c r="V27" s="7" t="s">
        <v>515</v>
      </c>
      <c r="W27" s="3">
        <f t="shared" si="0"/>
        <v>0</v>
      </c>
      <c r="AA27" s="82"/>
      <c r="AB27" s="82"/>
      <c r="AC27" s="82"/>
      <c r="AE27" s="7" t="s">
        <v>383</v>
      </c>
    </row>
    <row r="28" spans="1:31" x14ac:dyDescent="0.2">
      <c r="A28" s="143" t="s">
        <v>37</v>
      </c>
      <c r="B28" s="9">
        <v>0</v>
      </c>
      <c r="C28" s="9">
        <v>0</v>
      </c>
      <c r="D28" s="9">
        <v>0</v>
      </c>
      <c r="E28" s="9"/>
      <c r="F28" s="9" t="s">
        <v>495</v>
      </c>
      <c r="G28" s="4">
        <v>6254</v>
      </c>
      <c r="H28" s="4">
        <f t="shared" si="1"/>
        <v>4482.88</v>
      </c>
      <c r="I28" s="24">
        <f t="shared" si="2"/>
        <v>0.71679999999999999</v>
      </c>
      <c r="J28" s="23">
        <v>560.36</v>
      </c>
      <c r="K28" s="23">
        <v>560.36</v>
      </c>
      <c r="L28" s="23">
        <v>560.36</v>
      </c>
      <c r="M28" s="23">
        <v>0</v>
      </c>
      <c r="N28" s="23"/>
      <c r="O28" s="23"/>
      <c r="P28" s="23"/>
      <c r="Q28" s="23">
        <v>560.36</v>
      </c>
      <c r="R28" s="23">
        <v>560.36</v>
      </c>
      <c r="S28" s="23">
        <v>560.36</v>
      </c>
      <c r="T28" s="23">
        <v>560.36</v>
      </c>
      <c r="U28" s="23">
        <v>560.36</v>
      </c>
      <c r="V28" s="7" t="s">
        <v>516</v>
      </c>
      <c r="W28" s="3">
        <f t="shared" si="0"/>
        <v>1771.12</v>
      </c>
      <c r="AA28" s="82"/>
      <c r="AB28" s="82"/>
      <c r="AC28" s="82"/>
      <c r="AE28" s="7" t="s">
        <v>383</v>
      </c>
    </row>
    <row r="29" spans="1:31" x14ac:dyDescent="0.2">
      <c r="A29" s="143" t="s">
        <v>38</v>
      </c>
      <c r="B29" s="9" t="s">
        <v>495</v>
      </c>
      <c r="C29" s="9">
        <v>0</v>
      </c>
      <c r="D29" s="9">
        <v>0</v>
      </c>
      <c r="E29" s="9"/>
      <c r="F29" s="9" t="s">
        <v>495</v>
      </c>
      <c r="G29" s="4">
        <v>35383</v>
      </c>
      <c r="H29" s="4">
        <f t="shared" si="1"/>
        <v>32553.769999999997</v>
      </c>
      <c r="I29" s="24">
        <f t="shared" si="2"/>
        <v>0.92</v>
      </c>
      <c r="J29" s="23">
        <v>3317.27</v>
      </c>
      <c r="K29" s="23">
        <v>3317.27</v>
      </c>
      <c r="L29" s="23">
        <v>3317.27</v>
      </c>
      <c r="M29" s="23">
        <v>0</v>
      </c>
      <c r="N29" s="23"/>
      <c r="O29" s="23"/>
      <c r="P29" s="23"/>
      <c r="Q29" s="23">
        <v>5086.2700000000004</v>
      </c>
      <c r="R29" s="23">
        <v>5086.2299999999996</v>
      </c>
      <c r="S29" s="23">
        <v>5086.2299999999996</v>
      </c>
      <c r="T29" s="23">
        <v>5086.2299999999996</v>
      </c>
      <c r="U29" s="23"/>
      <c r="V29" s="7" t="s">
        <v>517</v>
      </c>
      <c r="W29" s="3">
        <f t="shared" si="0"/>
        <v>2829.2300000000032</v>
      </c>
      <c r="AA29" s="82"/>
      <c r="AB29" s="82"/>
      <c r="AC29" s="82">
        <v>2257</v>
      </c>
      <c r="AE29" s="7" t="s">
        <v>383</v>
      </c>
    </row>
    <row r="30" spans="1:31" x14ac:dyDescent="0.2">
      <c r="A30" s="143" t="s">
        <v>39</v>
      </c>
      <c r="B30" s="9">
        <v>0</v>
      </c>
      <c r="C30" s="9">
        <v>0</v>
      </c>
      <c r="D30" s="9">
        <v>0</v>
      </c>
      <c r="E30" s="9"/>
      <c r="F30" s="9">
        <v>0</v>
      </c>
      <c r="G30" s="4">
        <v>9804</v>
      </c>
      <c r="H30" s="4">
        <f t="shared" si="1"/>
        <v>6500</v>
      </c>
      <c r="I30" s="24">
        <f t="shared" si="2"/>
        <v>0.66300000000000003</v>
      </c>
      <c r="J30" s="23">
        <v>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>
        <v>6500</v>
      </c>
      <c r="V30" s="7" t="s">
        <v>518</v>
      </c>
      <c r="W30" s="3">
        <f t="shared" si="0"/>
        <v>3304</v>
      </c>
      <c r="AA30" s="82"/>
      <c r="AB30" s="82"/>
      <c r="AC30" s="82"/>
      <c r="AE30" s="7" t="s">
        <v>383</v>
      </c>
    </row>
    <row r="31" spans="1:31" x14ac:dyDescent="0.2">
      <c r="A31" s="143" t="s">
        <v>40</v>
      </c>
      <c r="B31" s="9" t="s">
        <v>495</v>
      </c>
      <c r="C31" s="9" t="s">
        <v>495</v>
      </c>
      <c r="D31" s="9" t="s">
        <v>495</v>
      </c>
      <c r="E31" s="9"/>
      <c r="F31" s="9">
        <v>0</v>
      </c>
      <c r="G31" s="4">
        <v>16679</v>
      </c>
      <c r="H31" s="4">
        <f t="shared" si="1"/>
        <v>0</v>
      </c>
      <c r="I31" s="24">
        <f t="shared" si="2"/>
        <v>0</v>
      </c>
      <c r="J31" s="23">
        <v>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7" t="s">
        <v>519</v>
      </c>
      <c r="W31" s="3">
        <f t="shared" si="0"/>
        <v>16679</v>
      </c>
      <c r="AA31" s="82"/>
      <c r="AB31" s="82"/>
      <c r="AC31" s="82"/>
      <c r="AE31" s="158" t="s">
        <v>384</v>
      </c>
    </row>
    <row r="32" spans="1:31" x14ac:dyDescent="0.2">
      <c r="A32" s="143" t="s">
        <v>41</v>
      </c>
      <c r="B32" s="9">
        <v>0</v>
      </c>
      <c r="C32" s="9" t="s">
        <v>495</v>
      </c>
      <c r="D32" s="9" t="s">
        <v>495</v>
      </c>
      <c r="E32" s="9"/>
      <c r="F32" s="9">
        <v>0</v>
      </c>
      <c r="G32" s="4">
        <v>5004</v>
      </c>
      <c r="H32" s="4">
        <f t="shared" si="1"/>
        <v>0</v>
      </c>
      <c r="I32" s="24">
        <f t="shared" si="2"/>
        <v>0</v>
      </c>
      <c r="J32" s="23">
        <v>0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7" t="s">
        <v>520</v>
      </c>
      <c r="W32" s="3">
        <f t="shared" si="0"/>
        <v>5004</v>
      </c>
      <c r="AA32" s="82"/>
      <c r="AB32" s="82"/>
      <c r="AC32" s="82"/>
      <c r="AE32" s="158" t="s">
        <v>384</v>
      </c>
    </row>
    <row r="33" spans="1:34" x14ac:dyDescent="0.2">
      <c r="A33" s="143" t="s">
        <v>42</v>
      </c>
      <c r="B33" s="9">
        <v>0</v>
      </c>
      <c r="C33" s="9">
        <v>0</v>
      </c>
      <c r="D33" s="9" t="s">
        <v>495</v>
      </c>
      <c r="E33" s="9"/>
      <c r="F33" s="9">
        <v>0</v>
      </c>
      <c r="G33" s="4">
        <v>8339</v>
      </c>
      <c r="H33" s="4">
        <f t="shared" si="1"/>
        <v>0</v>
      </c>
      <c r="I33" s="24">
        <f t="shared" si="2"/>
        <v>0</v>
      </c>
      <c r="J33" s="23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7" t="s">
        <v>521</v>
      </c>
      <c r="W33" s="3">
        <f t="shared" si="0"/>
        <v>8339</v>
      </c>
      <c r="AA33" s="82"/>
      <c r="AB33" s="82"/>
      <c r="AC33" s="82"/>
      <c r="AE33" s="158" t="s">
        <v>384</v>
      </c>
    </row>
    <row r="34" spans="1:34" x14ac:dyDescent="0.2">
      <c r="A34" s="143" t="s">
        <v>43</v>
      </c>
      <c r="B34" s="9" t="s">
        <v>495</v>
      </c>
      <c r="C34" s="9" t="s">
        <v>495</v>
      </c>
      <c r="D34" s="9" t="s">
        <v>495</v>
      </c>
      <c r="E34" s="9"/>
      <c r="F34" s="9" t="s">
        <v>495</v>
      </c>
      <c r="G34" s="4">
        <v>13769</v>
      </c>
      <c r="H34" s="4">
        <f t="shared" si="1"/>
        <v>13768.999999999998</v>
      </c>
      <c r="I34" s="24">
        <f t="shared" si="2"/>
        <v>1</v>
      </c>
      <c r="J34" s="23">
        <v>1006.33</v>
      </c>
      <c r="K34" s="23">
        <v>1160.27</v>
      </c>
      <c r="L34" s="23">
        <v>1160.24</v>
      </c>
      <c r="M34" s="23">
        <v>1160.24</v>
      </c>
      <c r="N34" s="23">
        <v>1160.24</v>
      </c>
      <c r="O34" s="23">
        <v>1160.24</v>
      </c>
      <c r="P34" s="23">
        <v>1160.24</v>
      </c>
      <c r="Q34" s="23">
        <v>1160.24</v>
      </c>
      <c r="R34" s="23">
        <v>1160.24</v>
      </c>
      <c r="S34" s="23">
        <v>1160.24</v>
      </c>
      <c r="T34" s="23">
        <v>1160.24</v>
      </c>
      <c r="U34" s="23">
        <v>1160.24</v>
      </c>
      <c r="V34" s="7" t="s">
        <v>522</v>
      </c>
      <c r="W34" s="3">
        <f t="shared" si="0"/>
        <v>0</v>
      </c>
      <c r="AA34" s="82"/>
      <c r="AB34" s="82"/>
      <c r="AC34" s="82"/>
      <c r="AE34" s="7" t="s">
        <v>382</v>
      </c>
    </row>
    <row r="35" spans="1:34" x14ac:dyDescent="0.2">
      <c r="A35" s="143" t="s">
        <v>44</v>
      </c>
      <c r="B35" s="9" t="s">
        <v>495</v>
      </c>
      <c r="C35" s="9" t="s">
        <v>495</v>
      </c>
      <c r="D35" s="9" t="s">
        <v>495</v>
      </c>
      <c r="E35" s="9"/>
      <c r="F35" s="9">
        <v>0</v>
      </c>
      <c r="G35" s="4">
        <v>13899</v>
      </c>
      <c r="H35" s="4">
        <f t="shared" si="1"/>
        <v>0</v>
      </c>
      <c r="I35" s="24">
        <f t="shared" si="2"/>
        <v>0</v>
      </c>
      <c r="J35" s="23"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7" t="s">
        <v>523</v>
      </c>
      <c r="W35" s="3">
        <f t="shared" si="0"/>
        <v>13899</v>
      </c>
      <c r="AA35" s="82"/>
      <c r="AB35" s="82"/>
      <c r="AC35" s="82"/>
      <c r="AE35" s="158" t="s">
        <v>384</v>
      </c>
    </row>
    <row r="36" spans="1:34" x14ac:dyDescent="0.2">
      <c r="A36" s="143" t="s">
        <v>45</v>
      </c>
      <c r="B36" s="9" t="s">
        <v>495</v>
      </c>
      <c r="C36" s="9" t="s">
        <v>495</v>
      </c>
      <c r="D36" s="9" t="s">
        <v>495</v>
      </c>
      <c r="E36" s="9"/>
      <c r="F36" s="9" t="s">
        <v>495</v>
      </c>
      <c r="G36" s="4">
        <v>24799</v>
      </c>
      <c r="H36" s="4">
        <f t="shared" si="1"/>
        <v>6000</v>
      </c>
      <c r="I36" s="24">
        <f t="shared" si="2"/>
        <v>0.2419</v>
      </c>
      <c r="J36" s="23">
        <v>500</v>
      </c>
      <c r="K36" s="23">
        <v>500</v>
      </c>
      <c r="L36" s="23">
        <v>500</v>
      </c>
      <c r="M36" s="23">
        <v>500</v>
      </c>
      <c r="N36" s="23">
        <v>500</v>
      </c>
      <c r="O36" s="23">
        <v>500</v>
      </c>
      <c r="P36" s="23">
        <v>500</v>
      </c>
      <c r="Q36" s="23">
        <v>500</v>
      </c>
      <c r="R36" s="23">
        <v>500</v>
      </c>
      <c r="S36" s="23">
        <v>500</v>
      </c>
      <c r="T36" s="23">
        <v>500</v>
      </c>
      <c r="U36" s="23">
        <f>1940-1440</f>
        <v>500</v>
      </c>
      <c r="V36" s="7" t="s">
        <v>524</v>
      </c>
      <c r="W36" s="3">
        <f t="shared" si="0"/>
        <v>18799</v>
      </c>
      <c r="AA36" s="82"/>
      <c r="AB36" s="82"/>
      <c r="AC36" s="82"/>
      <c r="AE36" s="7" t="s">
        <v>381</v>
      </c>
    </row>
    <row r="37" spans="1:34" x14ac:dyDescent="0.2">
      <c r="A37" s="143" t="s">
        <v>46</v>
      </c>
      <c r="B37" s="9" t="s">
        <v>495</v>
      </c>
      <c r="C37" s="9" t="s">
        <v>495</v>
      </c>
      <c r="D37" s="9">
        <v>0</v>
      </c>
      <c r="E37" s="9"/>
      <c r="F37" s="9" t="s">
        <v>495</v>
      </c>
      <c r="G37" s="4">
        <v>16976</v>
      </c>
      <c r="H37" s="4">
        <f>SUM(J37:U37)+SUM(AA37:AC37)</f>
        <v>16976</v>
      </c>
      <c r="I37" s="24">
        <f t="shared" si="2"/>
        <v>1</v>
      </c>
      <c r="J37" s="23">
        <v>1414.74</v>
      </c>
      <c r="K37" s="23">
        <v>1414.66</v>
      </c>
      <c r="L37" s="23">
        <v>1414.66</v>
      </c>
      <c r="M37" s="23">
        <v>1414.66</v>
      </c>
      <c r="N37" s="23">
        <v>1414.66</v>
      </c>
      <c r="O37" s="23">
        <v>1414.66</v>
      </c>
      <c r="P37" s="23">
        <v>1414.66</v>
      </c>
      <c r="Q37" s="23">
        <v>1414.66</v>
      </c>
      <c r="R37" s="23">
        <v>1414.66</v>
      </c>
      <c r="S37" s="23">
        <v>1414.66</v>
      </c>
      <c r="T37" s="23">
        <v>1414.66</v>
      </c>
      <c r="U37" s="23">
        <v>1414.66</v>
      </c>
      <c r="V37" s="7" t="s">
        <v>525</v>
      </c>
      <c r="W37" s="3">
        <f t="shared" si="0"/>
        <v>0</v>
      </c>
      <c r="AA37" s="82"/>
      <c r="AB37" s="82"/>
      <c r="AC37" s="82"/>
      <c r="AE37" s="7" t="s">
        <v>381</v>
      </c>
    </row>
    <row r="38" spans="1:34" x14ac:dyDescent="0.2">
      <c r="G38" s="19"/>
      <c r="H38" s="13"/>
      <c r="W38" s="3">
        <f t="shared" si="0"/>
        <v>0</v>
      </c>
      <c r="AA38" s="82"/>
      <c r="AB38" s="82"/>
      <c r="AC38" s="82"/>
    </row>
    <row r="39" spans="1:34" x14ac:dyDescent="0.2">
      <c r="A39" t="s">
        <v>6</v>
      </c>
      <c r="G39" s="4">
        <f>SUM(G8:G38)</f>
        <v>521177</v>
      </c>
      <c r="H39" s="4">
        <f t="shared" ref="H39:U39" si="3">SUM(H8:H38)</f>
        <v>400584.09</v>
      </c>
      <c r="I39" s="4"/>
      <c r="J39" s="4">
        <f t="shared" si="3"/>
        <v>24662.540000000005</v>
      </c>
      <c r="K39" s="4">
        <f t="shared" si="3"/>
        <v>33232.620000000003</v>
      </c>
      <c r="L39" s="4">
        <f t="shared" si="3"/>
        <v>31741.309999999998</v>
      </c>
      <c r="M39" s="4">
        <f t="shared" si="3"/>
        <v>27545.500000000004</v>
      </c>
      <c r="N39" s="4">
        <f t="shared" si="3"/>
        <v>31424.499999999996</v>
      </c>
      <c r="O39" s="4">
        <f t="shared" si="3"/>
        <v>22083.73</v>
      </c>
      <c r="P39" s="4">
        <f t="shared" si="3"/>
        <v>39403.01</v>
      </c>
      <c r="Q39" s="4">
        <f t="shared" si="3"/>
        <v>30820.49</v>
      </c>
      <c r="R39" s="4">
        <f t="shared" si="3"/>
        <v>29602.03</v>
      </c>
      <c r="S39" s="4">
        <f t="shared" si="3"/>
        <v>42669.52</v>
      </c>
      <c r="T39" s="4">
        <f t="shared" si="3"/>
        <v>34654.210000000006</v>
      </c>
      <c r="U39" s="4">
        <f t="shared" si="3"/>
        <v>29213.780000000002</v>
      </c>
      <c r="V39" s="77"/>
      <c r="W39" s="3">
        <f t="shared" si="0"/>
        <v>120592.90999999997</v>
      </c>
      <c r="X39" s="4"/>
      <c r="Y39" s="4"/>
      <c r="Z39" s="4"/>
      <c r="AA39" s="83">
        <f t="shared" ref="AA39:AC39" si="4">SUM(AA8:AA38)</f>
        <v>12585.85</v>
      </c>
      <c r="AB39" s="83">
        <f t="shared" si="4"/>
        <v>8688</v>
      </c>
      <c r="AC39" s="83">
        <f t="shared" si="4"/>
        <v>2257</v>
      </c>
      <c r="AH39" s="4">
        <f>ROUND(SUM(J39:U39),0)</f>
        <v>377053</v>
      </c>
    </row>
    <row r="40" spans="1:34" x14ac:dyDescent="0.2">
      <c r="G40" s="19"/>
      <c r="H40" s="13"/>
      <c r="W40" s="3"/>
    </row>
    <row r="41" spans="1:34" x14ac:dyDescent="0.2">
      <c r="G41" s="19"/>
      <c r="H41" s="13"/>
      <c r="W41" s="3"/>
    </row>
    <row r="42" spans="1:34" ht="15.75" x14ac:dyDescent="0.25">
      <c r="G42" s="150" t="s">
        <v>7</v>
      </c>
      <c r="H42" s="13"/>
      <c r="W42" s="3"/>
    </row>
    <row r="43" spans="1:34" x14ac:dyDescent="0.2">
      <c r="G43" s="19"/>
      <c r="H43" s="13"/>
      <c r="W43" s="3"/>
    </row>
    <row r="44" spans="1:34" ht="16.5" x14ac:dyDescent="0.25">
      <c r="B44" s="8"/>
      <c r="C44" s="8"/>
      <c r="E44" s="8"/>
      <c r="F44" s="8"/>
      <c r="G44" s="20" t="str">
        <f>$G$3</f>
        <v>2020 PARISH SHARE INFORMATION</v>
      </c>
      <c r="H44" s="14"/>
      <c r="W44" s="3"/>
    </row>
    <row r="45" spans="1:34" x14ac:dyDescent="0.2">
      <c r="G45" s="19"/>
      <c r="H45" s="13"/>
      <c r="W45" s="3"/>
    </row>
    <row r="46" spans="1:34" ht="16.5" x14ac:dyDescent="0.25">
      <c r="A46" s="1" t="s">
        <v>1</v>
      </c>
      <c r="B46" s="151" t="str">
        <f>$B$5</f>
        <v>RM</v>
      </c>
      <c r="C46" s="151" t="str">
        <f>$C$5</f>
        <v>RF</v>
      </c>
      <c r="D46" s="151" t="str">
        <f>$D$5</f>
        <v>Accts</v>
      </c>
      <c r="E46" s="151"/>
      <c r="F46" s="151" t="str">
        <f>$F$5</f>
        <v>Share DD</v>
      </c>
      <c r="G46" s="153" t="str">
        <f>$G$5</f>
        <v xml:space="preserve">2020 Share </v>
      </c>
      <c r="H46" s="154" t="str">
        <f>$H$5</f>
        <v xml:space="preserve">2020 Paid </v>
      </c>
      <c r="I46" s="154" t="str">
        <f>$I$5</f>
        <v xml:space="preserve">% Paid </v>
      </c>
      <c r="J46" s="155">
        <f>$J$5</f>
        <v>43861</v>
      </c>
      <c r="K46" s="155">
        <f>$K$5</f>
        <v>43890</v>
      </c>
      <c r="L46" s="155">
        <f>$L$5</f>
        <v>43921</v>
      </c>
      <c r="M46" s="155">
        <f>$M$5</f>
        <v>43951</v>
      </c>
      <c r="N46" s="155">
        <f>$N$5</f>
        <v>43982</v>
      </c>
      <c r="O46" s="155">
        <f>$O$5</f>
        <v>44012</v>
      </c>
      <c r="P46" s="155">
        <f>$P$5</f>
        <v>44043</v>
      </c>
      <c r="Q46" s="155">
        <f>$Q$5</f>
        <v>44074</v>
      </c>
      <c r="R46" s="155">
        <f>$R$5</f>
        <v>44104</v>
      </c>
      <c r="S46" s="155">
        <f>$S$5</f>
        <v>44135</v>
      </c>
      <c r="T46" s="155">
        <f>$T$5</f>
        <v>44165</v>
      </c>
      <c r="U46" s="155">
        <f>$U$5</f>
        <v>44196</v>
      </c>
      <c r="V46" s="78"/>
      <c r="W46" s="157" t="str">
        <f>$W$5</f>
        <v xml:space="preserve">Outstanding </v>
      </c>
      <c r="X46" s="2"/>
      <c r="Y46" s="2"/>
      <c r="Z46" s="2"/>
      <c r="AA46" s="173">
        <v>44197</v>
      </c>
      <c r="AB46" s="173">
        <v>44228</v>
      </c>
      <c r="AC46" s="173">
        <v>44256</v>
      </c>
      <c r="AE46" s="152" t="str">
        <f>$AE$5</f>
        <v>Benefice</v>
      </c>
    </row>
    <row r="47" spans="1:34" ht="16.5" x14ac:dyDescent="0.25">
      <c r="G47" s="146" t="s">
        <v>1040</v>
      </c>
      <c r="H47" s="147" t="s">
        <v>1040</v>
      </c>
      <c r="I47" s="148"/>
      <c r="J47" s="147" t="s">
        <v>1040</v>
      </c>
      <c r="K47" s="147" t="s">
        <v>1040</v>
      </c>
      <c r="L47" s="147" t="s">
        <v>1040</v>
      </c>
      <c r="M47" s="147" t="s">
        <v>1040</v>
      </c>
      <c r="N47" s="147" t="s">
        <v>1040</v>
      </c>
      <c r="O47" s="147" t="s">
        <v>1040</v>
      </c>
      <c r="P47" s="147" t="s">
        <v>1040</v>
      </c>
      <c r="Q47" s="147" t="s">
        <v>1040</v>
      </c>
      <c r="R47" s="147" t="s">
        <v>1040</v>
      </c>
      <c r="S47" s="147" t="s">
        <v>1040</v>
      </c>
      <c r="T47" s="147" t="s">
        <v>1040</v>
      </c>
      <c r="U47" s="147" t="s">
        <v>1040</v>
      </c>
      <c r="W47" s="3"/>
      <c r="AA47" s="174" t="s">
        <v>1040</v>
      </c>
      <c r="AB47" s="174" t="s">
        <v>1040</v>
      </c>
      <c r="AC47" s="174" t="s">
        <v>1040</v>
      </c>
    </row>
    <row r="48" spans="1:34" x14ac:dyDescent="0.2">
      <c r="G48" s="19"/>
      <c r="H48" s="13"/>
      <c r="W48" s="3"/>
    </row>
    <row r="49" spans="1:31" x14ac:dyDescent="0.2">
      <c r="A49" s="141" t="s">
        <v>47</v>
      </c>
      <c r="B49" s="9" t="s">
        <v>495</v>
      </c>
      <c r="C49" s="9" t="s">
        <v>495</v>
      </c>
      <c r="D49" s="9">
        <v>0</v>
      </c>
      <c r="E49" s="9"/>
      <c r="F49" s="9" t="s">
        <v>495</v>
      </c>
      <c r="G49" s="4">
        <v>26841</v>
      </c>
      <c r="H49" s="4">
        <f>SUM(J49:U49)+SUM(AA49:AC49)</f>
        <v>26840.999999999996</v>
      </c>
      <c r="I49" s="24">
        <f t="shared" ref="I49:I79" si="5">ROUND((H49/G49),4)</f>
        <v>1</v>
      </c>
      <c r="J49" s="23">
        <v>2605.8000000000002</v>
      </c>
      <c r="K49" s="23">
        <v>2692.8</v>
      </c>
      <c r="L49" s="23">
        <v>2692.8</v>
      </c>
      <c r="M49" s="23">
        <v>2692.8</v>
      </c>
      <c r="N49" s="23">
        <v>2692.8</v>
      </c>
      <c r="O49" s="23">
        <v>2692.8</v>
      </c>
      <c r="P49" s="23">
        <v>2692.8</v>
      </c>
      <c r="Q49" s="23">
        <v>2692.8</v>
      </c>
      <c r="R49" s="23">
        <v>2692.8</v>
      </c>
      <c r="S49" s="23">
        <v>2692.8</v>
      </c>
      <c r="T49" s="23"/>
      <c r="U49" s="23"/>
      <c r="V49" s="79" t="s">
        <v>526</v>
      </c>
      <c r="W49" s="23">
        <f t="shared" ref="W49:W80" si="6">G49-H49</f>
        <v>0</v>
      </c>
      <c r="X49" s="4"/>
      <c r="Y49" s="4"/>
      <c r="Z49" s="4"/>
      <c r="AA49" s="82"/>
      <c r="AB49" s="82"/>
      <c r="AC49" s="82"/>
      <c r="AD49" s="23"/>
      <c r="AE49" s="7" t="s">
        <v>386</v>
      </c>
    </row>
    <row r="50" spans="1:31" x14ac:dyDescent="0.2">
      <c r="A50" s="141" t="s">
        <v>48</v>
      </c>
      <c r="B50" s="9" t="s">
        <v>495</v>
      </c>
      <c r="C50" s="9" t="s">
        <v>495</v>
      </c>
      <c r="D50" s="9">
        <v>0</v>
      </c>
      <c r="E50" s="9"/>
      <c r="F50" s="9" t="s">
        <v>495</v>
      </c>
      <c r="G50" s="4">
        <v>8146</v>
      </c>
      <c r="H50" s="4">
        <f t="shared" ref="H50:H80" si="7">SUM(J50:U50)+SUM(AA50:AC50)</f>
        <v>4000</v>
      </c>
      <c r="I50" s="24">
        <f t="shared" si="5"/>
        <v>0.49099999999999999</v>
      </c>
      <c r="J50" s="23">
        <v>200</v>
      </c>
      <c r="K50" s="23">
        <v>200</v>
      </c>
      <c r="L50" s="23">
        <v>200</v>
      </c>
      <c r="M50" s="23">
        <v>200</v>
      </c>
      <c r="N50" s="23">
        <v>200</v>
      </c>
      <c r="O50" s="23">
        <v>200</v>
      </c>
      <c r="P50" s="23">
        <v>200</v>
      </c>
      <c r="Q50" s="23">
        <v>200</v>
      </c>
      <c r="R50" s="23">
        <v>200</v>
      </c>
      <c r="S50" s="23">
        <v>200</v>
      </c>
      <c r="T50" s="23">
        <v>200</v>
      </c>
      <c r="U50" s="23">
        <v>1800</v>
      </c>
      <c r="V50" s="79" t="s">
        <v>527</v>
      </c>
      <c r="W50" s="23">
        <f t="shared" si="6"/>
        <v>4146</v>
      </c>
      <c r="X50" s="79"/>
      <c r="Y50" s="79"/>
      <c r="Z50" s="79"/>
      <c r="AA50" s="82"/>
      <c r="AB50" s="82"/>
      <c r="AC50" s="82"/>
      <c r="AD50" s="23"/>
      <c r="AE50" s="7" t="s">
        <v>386</v>
      </c>
    </row>
    <row r="51" spans="1:31" x14ac:dyDescent="0.2">
      <c r="A51" s="141" t="s">
        <v>49</v>
      </c>
      <c r="B51" s="9" t="s">
        <v>495</v>
      </c>
      <c r="C51" s="9" t="s">
        <v>495</v>
      </c>
      <c r="D51" s="9">
        <v>0</v>
      </c>
      <c r="E51" s="9"/>
      <c r="F51" s="9">
        <v>0</v>
      </c>
      <c r="G51" s="4">
        <v>34227</v>
      </c>
      <c r="H51" s="4">
        <f t="shared" si="7"/>
        <v>34266.81</v>
      </c>
      <c r="I51" s="24">
        <f t="shared" si="5"/>
        <v>1.0012000000000001</v>
      </c>
      <c r="J51" s="23">
        <v>2852.25</v>
      </c>
      <c r="K51" s="23">
        <v>2852.25</v>
      </c>
      <c r="L51" s="23">
        <v>2852.25</v>
      </c>
      <c r="M51" s="23">
        <v>1000</v>
      </c>
      <c r="N51" s="23">
        <v>1000</v>
      </c>
      <c r="O51" s="23">
        <v>1000</v>
      </c>
      <c r="P51" s="23">
        <v>3500</v>
      </c>
      <c r="Q51" s="23">
        <v>1000</v>
      </c>
      <c r="R51" s="23">
        <v>6000</v>
      </c>
      <c r="S51" s="23">
        <v>1000</v>
      </c>
      <c r="T51" s="23">
        <v>3500</v>
      </c>
      <c r="U51" s="23">
        <v>4800</v>
      </c>
      <c r="V51" s="79" t="s">
        <v>528</v>
      </c>
      <c r="W51" s="23">
        <f t="shared" si="6"/>
        <v>-39.809999999997672</v>
      </c>
      <c r="X51" s="79"/>
      <c r="Y51" s="79"/>
      <c r="Z51" s="79"/>
      <c r="AA51" s="82"/>
      <c r="AB51" s="82"/>
      <c r="AC51" s="175">
        <v>2910.06</v>
      </c>
      <c r="AD51" s="23"/>
      <c r="AE51" s="7" t="s">
        <v>387</v>
      </c>
    </row>
    <row r="52" spans="1:31" x14ac:dyDescent="0.2">
      <c r="A52" s="141" t="s">
        <v>50</v>
      </c>
      <c r="B52" s="9" t="s">
        <v>495</v>
      </c>
      <c r="C52" s="9" t="s">
        <v>495</v>
      </c>
      <c r="D52" s="9" t="s">
        <v>495</v>
      </c>
      <c r="E52" s="9"/>
      <c r="F52" s="9" t="s">
        <v>495</v>
      </c>
      <c r="G52" s="4">
        <v>4857</v>
      </c>
      <c r="H52" s="4">
        <f t="shared" si="7"/>
        <v>4857</v>
      </c>
      <c r="I52" s="24">
        <f t="shared" si="5"/>
        <v>1</v>
      </c>
      <c r="J52" s="23">
        <v>404.75</v>
      </c>
      <c r="K52" s="23">
        <v>404.75</v>
      </c>
      <c r="L52" s="23">
        <v>404.75</v>
      </c>
      <c r="M52" s="23">
        <v>404.75</v>
      </c>
      <c r="N52" s="23">
        <v>404.75</v>
      </c>
      <c r="O52" s="23">
        <v>404.75</v>
      </c>
      <c r="P52" s="23">
        <v>404.75</v>
      </c>
      <c r="Q52" s="23">
        <v>404.75</v>
      </c>
      <c r="R52" s="23">
        <v>404.75</v>
      </c>
      <c r="S52" s="23">
        <v>404.75</v>
      </c>
      <c r="T52" s="23">
        <v>404.75</v>
      </c>
      <c r="U52" s="23">
        <v>404.75</v>
      </c>
      <c r="V52" s="79" t="s">
        <v>529</v>
      </c>
      <c r="W52" s="23">
        <f t="shared" si="6"/>
        <v>0</v>
      </c>
      <c r="X52" s="79"/>
      <c r="Y52" s="79"/>
      <c r="Z52" s="79"/>
      <c r="AA52" s="82"/>
      <c r="AB52" s="82"/>
      <c r="AC52" s="82"/>
      <c r="AD52" s="23"/>
      <c r="AE52" s="7" t="s">
        <v>389</v>
      </c>
    </row>
    <row r="53" spans="1:31" x14ac:dyDescent="0.2">
      <c r="A53" s="141" t="s">
        <v>51</v>
      </c>
      <c r="B53" s="9" t="s">
        <v>495</v>
      </c>
      <c r="C53" s="9" t="s">
        <v>495</v>
      </c>
      <c r="D53" s="9" t="s">
        <v>495</v>
      </c>
      <c r="E53" s="9"/>
      <c r="F53" s="9">
        <v>0</v>
      </c>
      <c r="G53" s="4">
        <v>4857</v>
      </c>
      <c r="H53" s="4">
        <f t="shared" si="7"/>
        <v>4857</v>
      </c>
      <c r="I53" s="24">
        <f t="shared" si="5"/>
        <v>1</v>
      </c>
      <c r="J53" s="23">
        <v>0</v>
      </c>
      <c r="K53" s="23"/>
      <c r="L53" s="23"/>
      <c r="M53" s="23"/>
      <c r="N53" s="23">
        <v>4857</v>
      </c>
      <c r="O53" s="23"/>
      <c r="P53" s="23"/>
      <c r="Q53" s="23"/>
      <c r="R53" s="23"/>
      <c r="S53" s="23"/>
      <c r="T53" s="23"/>
      <c r="U53" s="23"/>
      <c r="V53" s="79" t="s">
        <v>530</v>
      </c>
      <c r="W53" s="23">
        <f t="shared" si="6"/>
        <v>0</v>
      </c>
      <c r="X53" s="79"/>
      <c r="Y53" s="79"/>
      <c r="Z53" s="79"/>
      <c r="AA53" s="82"/>
      <c r="AB53" s="82"/>
      <c r="AC53" s="82"/>
      <c r="AD53" s="23"/>
      <c r="AE53" s="7" t="s">
        <v>389</v>
      </c>
    </row>
    <row r="54" spans="1:31" x14ac:dyDescent="0.2">
      <c r="A54" s="141" t="s">
        <v>52</v>
      </c>
      <c r="B54" s="9" t="s">
        <v>495</v>
      </c>
      <c r="C54" s="9" t="s">
        <v>495</v>
      </c>
      <c r="D54" s="9">
        <v>0</v>
      </c>
      <c r="E54" s="9"/>
      <c r="F54" s="9">
        <v>0</v>
      </c>
      <c r="G54" s="4">
        <v>25688</v>
      </c>
      <c r="H54" s="4">
        <f t="shared" si="7"/>
        <v>25764</v>
      </c>
      <c r="I54" s="24">
        <f t="shared" si="5"/>
        <v>1.0029999999999999</v>
      </c>
      <c r="J54" s="23">
        <v>0</v>
      </c>
      <c r="K54" s="23">
        <v>4290</v>
      </c>
      <c r="L54" s="23">
        <v>2000</v>
      </c>
      <c r="M54" s="23">
        <v>2290</v>
      </c>
      <c r="N54" s="23">
        <v>2145</v>
      </c>
      <c r="O54" s="23">
        <v>2145</v>
      </c>
      <c r="P54" s="23">
        <v>2145</v>
      </c>
      <c r="Q54" s="23">
        <v>2145</v>
      </c>
      <c r="R54" s="23">
        <v>2145</v>
      </c>
      <c r="S54" s="23">
        <v>2145</v>
      </c>
      <c r="T54" s="23">
        <v>2145</v>
      </c>
      <c r="U54" s="23">
        <v>2169</v>
      </c>
      <c r="V54" s="79" t="s">
        <v>531</v>
      </c>
      <c r="W54" s="23">
        <f t="shared" si="6"/>
        <v>-76</v>
      </c>
      <c r="X54" s="79"/>
      <c r="Y54" s="79"/>
      <c r="Z54" s="79"/>
      <c r="AA54" s="82"/>
      <c r="AB54" s="82"/>
      <c r="AC54" s="82"/>
      <c r="AD54" s="23"/>
      <c r="AE54" s="7" t="s">
        <v>393</v>
      </c>
    </row>
    <row r="55" spans="1:31" x14ac:dyDescent="0.2">
      <c r="A55" s="141" t="s">
        <v>53</v>
      </c>
      <c r="B55" s="9" t="s">
        <v>495</v>
      </c>
      <c r="C55" s="9" t="s">
        <v>495</v>
      </c>
      <c r="D55" s="9" t="s">
        <v>495</v>
      </c>
      <c r="E55" s="9"/>
      <c r="F55" s="9">
        <v>0</v>
      </c>
      <c r="G55" s="4">
        <v>4349</v>
      </c>
      <c r="H55" s="4">
        <f t="shared" si="7"/>
        <v>4463.0599999999995</v>
      </c>
      <c r="I55" s="24">
        <f t="shared" si="5"/>
        <v>1.0262</v>
      </c>
      <c r="J55" s="23">
        <v>362.38</v>
      </c>
      <c r="K55" s="23">
        <v>362.38</v>
      </c>
      <c r="L55" s="23">
        <v>373.83</v>
      </c>
      <c r="M55" s="23">
        <v>373.83</v>
      </c>
      <c r="N55" s="23">
        <v>373.83</v>
      </c>
      <c r="O55" s="23">
        <v>373.83</v>
      </c>
      <c r="P55" s="23">
        <v>373.83</v>
      </c>
      <c r="Q55" s="23">
        <v>373.83</v>
      </c>
      <c r="R55" s="23">
        <v>373.83</v>
      </c>
      <c r="S55" s="23">
        <v>373.83</v>
      </c>
      <c r="T55" s="23">
        <v>373.83</v>
      </c>
      <c r="U55" s="23">
        <v>373.83</v>
      </c>
      <c r="V55" s="79" t="s">
        <v>532</v>
      </c>
      <c r="W55" s="23">
        <f t="shared" si="6"/>
        <v>-114.05999999999949</v>
      </c>
      <c r="X55" s="79"/>
      <c r="Y55" s="79"/>
      <c r="Z55" s="79"/>
      <c r="AA55" s="82"/>
      <c r="AB55" s="82"/>
      <c r="AC55" s="82"/>
      <c r="AD55" s="23"/>
      <c r="AE55" s="7" t="s">
        <v>393</v>
      </c>
    </row>
    <row r="56" spans="1:31" x14ac:dyDescent="0.2">
      <c r="A56" s="141" t="s">
        <v>54</v>
      </c>
      <c r="B56" s="9" t="s">
        <v>495</v>
      </c>
      <c r="C56" s="9" t="s">
        <v>495</v>
      </c>
      <c r="D56" s="9">
        <v>0</v>
      </c>
      <c r="E56" s="9"/>
      <c r="F56" s="9" t="s">
        <v>495</v>
      </c>
      <c r="G56" s="4">
        <v>13020</v>
      </c>
      <c r="H56" s="4">
        <f t="shared" si="7"/>
        <v>13019.999999999996</v>
      </c>
      <c r="I56" s="24">
        <f t="shared" si="5"/>
        <v>1</v>
      </c>
      <c r="J56" s="23">
        <v>1053.33</v>
      </c>
      <c r="K56" s="23">
        <v>1087.97</v>
      </c>
      <c r="L56" s="23">
        <v>1087.8699999999999</v>
      </c>
      <c r="M56" s="23">
        <v>1087.8699999999999</v>
      </c>
      <c r="N56" s="23">
        <v>1087.8699999999999</v>
      </c>
      <c r="O56" s="23">
        <v>1087.8699999999999</v>
      </c>
      <c r="P56" s="23">
        <v>1087.8699999999999</v>
      </c>
      <c r="Q56" s="23">
        <v>1087.8699999999999</v>
      </c>
      <c r="R56" s="23">
        <v>1087.8699999999999</v>
      </c>
      <c r="S56" s="23">
        <v>1087.8699999999999</v>
      </c>
      <c r="T56" s="23">
        <v>1087.8699999999999</v>
      </c>
      <c r="U56" s="23">
        <v>1087.8699999999999</v>
      </c>
      <c r="V56" s="79" t="s">
        <v>533</v>
      </c>
      <c r="W56" s="23">
        <f t="shared" si="6"/>
        <v>0</v>
      </c>
      <c r="X56" s="79"/>
      <c r="Y56" s="79"/>
      <c r="Z56" s="79"/>
      <c r="AA56" s="82"/>
      <c r="AB56" s="82"/>
      <c r="AC56" s="82"/>
      <c r="AD56" s="23"/>
      <c r="AE56" s="7" t="s">
        <v>386</v>
      </c>
    </row>
    <row r="57" spans="1:31" x14ac:dyDescent="0.2">
      <c r="A57" s="141" t="s">
        <v>55</v>
      </c>
      <c r="B57" s="9" t="s">
        <v>495</v>
      </c>
      <c r="C57" s="9" t="s">
        <v>495</v>
      </c>
      <c r="D57" s="9">
        <v>0</v>
      </c>
      <c r="E57" s="9"/>
      <c r="F57" s="9">
        <v>0</v>
      </c>
      <c r="G57" s="4">
        <v>11417</v>
      </c>
      <c r="H57" s="4">
        <f t="shared" si="7"/>
        <v>11417.000000000002</v>
      </c>
      <c r="I57" s="24">
        <f t="shared" si="5"/>
        <v>1</v>
      </c>
      <c r="J57" s="23">
        <v>923.75</v>
      </c>
      <c r="K57" s="23">
        <v>953.95</v>
      </c>
      <c r="L57" s="23">
        <v>953.93</v>
      </c>
      <c r="M57" s="23">
        <v>953.93</v>
      </c>
      <c r="N57" s="23">
        <v>953.93</v>
      </c>
      <c r="O57" s="23">
        <v>953.93</v>
      </c>
      <c r="P57" s="23">
        <v>953.93</v>
      </c>
      <c r="Q57" s="23">
        <v>953.93</v>
      </c>
      <c r="R57" s="23">
        <v>953.93</v>
      </c>
      <c r="S57" s="23">
        <v>0</v>
      </c>
      <c r="T57" s="23">
        <v>1907.86</v>
      </c>
      <c r="U57" s="23">
        <v>953.93</v>
      </c>
      <c r="V57" s="79" t="s">
        <v>534</v>
      </c>
      <c r="W57" s="23">
        <f t="shared" si="6"/>
        <v>0</v>
      </c>
      <c r="X57" s="79"/>
      <c r="Y57" s="79"/>
      <c r="Z57" s="79"/>
      <c r="AA57" s="82"/>
      <c r="AB57" s="82"/>
      <c r="AC57" s="82"/>
      <c r="AD57" s="23"/>
      <c r="AE57" s="7" t="s">
        <v>386</v>
      </c>
    </row>
    <row r="58" spans="1:31" x14ac:dyDescent="0.2">
      <c r="A58" s="141" t="s">
        <v>56</v>
      </c>
      <c r="B58" s="9" t="s">
        <v>495</v>
      </c>
      <c r="C58" s="9" t="s">
        <v>495</v>
      </c>
      <c r="D58" s="9">
        <v>0</v>
      </c>
      <c r="E58" s="9"/>
      <c r="F58" s="9" t="s">
        <v>495</v>
      </c>
      <c r="G58" s="4">
        <v>7344</v>
      </c>
      <c r="H58" s="4">
        <f t="shared" si="7"/>
        <v>1560</v>
      </c>
      <c r="I58" s="24">
        <f t="shared" si="5"/>
        <v>0.21240000000000001</v>
      </c>
      <c r="J58" s="23">
        <v>130</v>
      </c>
      <c r="K58" s="23">
        <v>130</v>
      </c>
      <c r="L58" s="23">
        <v>130</v>
      </c>
      <c r="M58" s="23">
        <v>130</v>
      </c>
      <c r="N58" s="23">
        <v>130</v>
      </c>
      <c r="O58" s="23">
        <v>130</v>
      </c>
      <c r="P58" s="23">
        <v>130</v>
      </c>
      <c r="Q58" s="23">
        <v>130</v>
      </c>
      <c r="R58" s="23">
        <v>130</v>
      </c>
      <c r="S58" s="23">
        <v>130</v>
      </c>
      <c r="T58" s="23">
        <v>130</v>
      </c>
      <c r="U58" s="23">
        <v>130</v>
      </c>
      <c r="V58" s="79" t="s">
        <v>535</v>
      </c>
      <c r="W58" s="23">
        <f t="shared" si="6"/>
        <v>5784</v>
      </c>
      <c r="X58" s="79"/>
      <c r="Y58" s="79"/>
      <c r="Z58" s="79"/>
      <c r="AA58" s="82"/>
      <c r="AB58" s="82"/>
      <c r="AC58" s="82"/>
      <c r="AD58" s="23"/>
      <c r="AE58" s="7" t="s">
        <v>386</v>
      </c>
    </row>
    <row r="59" spans="1:31" x14ac:dyDescent="0.2">
      <c r="A59" s="141" t="s">
        <v>57</v>
      </c>
      <c r="B59" s="9" t="s">
        <v>495</v>
      </c>
      <c r="C59" s="9" t="s">
        <v>495</v>
      </c>
      <c r="D59" s="9" t="s">
        <v>495</v>
      </c>
      <c r="E59" s="9"/>
      <c r="F59" s="9" t="s">
        <v>495</v>
      </c>
      <c r="G59" s="4">
        <v>61316</v>
      </c>
      <c r="H59" s="4">
        <f t="shared" si="7"/>
        <v>30658.000000000007</v>
      </c>
      <c r="I59" s="24">
        <f t="shared" si="5"/>
        <v>0.5</v>
      </c>
      <c r="J59" s="23">
        <v>2394.75</v>
      </c>
      <c r="K59" s="23">
        <v>2569.4499999999998</v>
      </c>
      <c r="L59" s="23">
        <v>2569.38</v>
      </c>
      <c r="M59" s="23">
        <v>2569.38</v>
      </c>
      <c r="N59" s="23">
        <v>2569.38</v>
      </c>
      <c r="O59" s="23">
        <v>2569.38</v>
      </c>
      <c r="P59" s="23">
        <v>2569.38</v>
      </c>
      <c r="Q59" s="23">
        <v>2569.38</v>
      </c>
      <c r="R59" s="23">
        <v>2569.38</v>
      </c>
      <c r="S59" s="23">
        <v>2569.38</v>
      </c>
      <c r="T59" s="23">
        <v>2569.38</v>
      </c>
      <c r="U59" s="23">
        <v>2569.38</v>
      </c>
      <c r="V59" s="79" t="s">
        <v>536</v>
      </c>
      <c r="W59" s="23">
        <f t="shared" si="6"/>
        <v>30657.999999999993</v>
      </c>
      <c r="X59" s="79"/>
      <c r="Y59" s="79"/>
      <c r="Z59" s="79"/>
      <c r="AA59" s="82"/>
      <c r="AB59" s="82"/>
      <c r="AC59" s="82"/>
      <c r="AD59" s="23"/>
      <c r="AE59" s="7" t="s">
        <v>388</v>
      </c>
    </row>
    <row r="60" spans="1:31" x14ac:dyDescent="0.2">
      <c r="A60" s="141" t="s">
        <v>58</v>
      </c>
      <c r="B60" s="9" t="s">
        <v>495</v>
      </c>
      <c r="C60" s="9" t="s">
        <v>495</v>
      </c>
      <c r="D60" s="9">
        <v>0</v>
      </c>
      <c r="E60" s="9"/>
      <c r="F60" s="9">
        <v>0</v>
      </c>
      <c r="G60" s="4">
        <v>12412</v>
      </c>
      <c r="H60" s="4">
        <f t="shared" si="7"/>
        <v>12412.200000000003</v>
      </c>
      <c r="I60" s="24">
        <f t="shared" si="5"/>
        <v>1</v>
      </c>
      <c r="J60" s="23">
        <v>1034.3499999999999</v>
      </c>
      <c r="K60" s="23">
        <v>1034.3499999999999</v>
      </c>
      <c r="L60" s="23">
        <v>1034.3499999999999</v>
      </c>
      <c r="M60" s="23">
        <v>1034.3499999999999</v>
      </c>
      <c r="N60" s="23">
        <v>1034.3499999999999</v>
      </c>
      <c r="O60" s="23">
        <v>1034.3499999999999</v>
      </c>
      <c r="P60" s="23">
        <v>1034.3499999999999</v>
      </c>
      <c r="Q60" s="23">
        <v>1034.3499999999999</v>
      </c>
      <c r="R60" s="23">
        <v>1034.3499999999999</v>
      </c>
      <c r="S60" s="23">
        <v>1034.3499999999999</v>
      </c>
      <c r="T60" s="23">
        <v>1034.3499999999999</v>
      </c>
      <c r="U60" s="23">
        <v>1034.3499999999999</v>
      </c>
      <c r="V60" s="79" t="s">
        <v>537</v>
      </c>
      <c r="W60" s="23">
        <f t="shared" si="6"/>
        <v>-0.20000000000254659</v>
      </c>
      <c r="X60" s="79"/>
      <c r="Y60" s="79"/>
      <c r="Z60" s="79"/>
      <c r="AA60" s="82"/>
      <c r="AB60" s="82"/>
      <c r="AC60" s="82"/>
      <c r="AD60" s="23"/>
      <c r="AE60" s="7" t="s">
        <v>389</v>
      </c>
    </row>
    <row r="61" spans="1:31" x14ac:dyDescent="0.2">
      <c r="A61" s="141" t="s">
        <v>59</v>
      </c>
      <c r="B61" s="9">
        <v>0</v>
      </c>
      <c r="C61" s="9" t="s">
        <v>495</v>
      </c>
      <c r="D61" s="9">
        <v>0</v>
      </c>
      <c r="E61" s="9"/>
      <c r="F61" s="9">
        <v>0</v>
      </c>
      <c r="G61" s="4">
        <v>4857</v>
      </c>
      <c r="H61" s="4">
        <f t="shared" si="7"/>
        <v>4856.9400000000005</v>
      </c>
      <c r="I61" s="24">
        <f t="shared" si="5"/>
        <v>1</v>
      </c>
      <c r="J61" s="23">
        <v>0</v>
      </c>
      <c r="K61" s="23"/>
      <c r="L61" s="23"/>
      <c r="M61" s="23"/>
      <c r="N61" s="23">
        <v>2500</v>
      </c>
      <c r="O61" s="23"/>
      <c r="P61" s="23"/>
      <c r="Q61" s="23"/>
      <c r="R61" s="23"/>
      <c r="S61" s="23">
        <v>2356.94</v>
      </c>
      <c r="T61" s="23"/>
      <c r="U61" s="23"/>
      <c r="V61" s="79" t="s">
        <v>538</v>
      </c>
      <c r="W61" s="23">
        <f t="shared" si="6"/>
        <v>5.9999999999490683E-2</v>
      </c>
      <c r="X61" s="79"/>
      <c r="Y61" s="79"/>
      <c r="Z61" s="79"/>
      <c r="AA61" s="82"/>
      <c r="AB61" s="82"/>
      <c r="AC61" s="82"/>
      <c r="AD61" s="23"/>
      <c r="AE61" s="7" t="s">
        <v>389</v>
      </c>
    </row>
    <row r="62" spans="1:31" x14ac:dyDescent="0.2">
      <c r="A62" s="141" t="s">
        <v>60</v>
      </c>
      <c r="B62" s="9" t="s">
        <v>495</v>
      </c>
      <c r="C62" s="9" t="s">
        <v>495</v>
      </c>
      <c r="D62" s="9" t="s">
        <v>495</v>
      </c>
      <c r="E62" s="9"/>
      <c r="F62" s="9">
        <v>0</v>
      </c>
      <c r="G62" s="4">
        <v>41872</v>
      </c>
      <c r="H62" s="4">
        <f t="shared" si="7"/>
        <v>29404.66</v>
      </c>
      <c r="I62" s="24">
        <f t="shared" si="5"/>
        <v>0.70230000000000004</v>
      </c>
      <c r="J62" s="23">
        <v>0</v>
      </c>
      <c r="K62" s="23"/>
      <c r="L62" s="23"/>
      <c r="M62" s="23">
        <v>4000</v>
      </c>
      <c r="N62" s="23">
        <v>2500</v>
      </c>
      <c r="O62" s="23">
        <v>5000</v>
      </c>
      <c r="P62" s="23"/>
      <c r="Q62" s="23">
        <v>4000</v>
      </c>
      <c r="R62" s="23">
        <v>4000</v>
      </c>
      <c r="S62" s="23">
        <v>5000</v>
      </c>
      <c r="T62" s="23">
        <v>1500</v>
      </c>
      <c r="U62" s="23">
        <v>3404.66</v>
      </c>
      <c r="V62" s="79" t="s">
        <v>539</v>
      </c>
      <c r="W62" s="23">
        <f t="shared" si="6"/>
        <v>12467.34</v>
      </c>
      <c r="X62" s="79"/>
      <c r="Y62" s="79"/>
      <c r="Z62" s="79"/>
      <c r="AA62" s="82"/>
      <c r="AB62" s="82"/>
      <c r="AC62" s="82"/>
      <c r="AD62" s="23"/>
      <c r="AE62" s="7" t="s">
        <v>390</v>
      </c>
    </row>
    <row r="63" spans="1:31" x14ac:dyDescent="0.2">
      <c r="A63" s="141" t="s">
        <v>61</v>
      </c>
      <c r="B63" s="9" t="s">
        <v>495</v>
      </c>
      <c r="C63" s="9" t="s">
        <v>495</v>
      </c>
      <c r="D63" s="9">
        <v>0</v>
      </c>
      <c r="E63" s="9"/>
      <c r="F63" s="9">
        <v>0</v>
      </c>
      <c r="G63" s="4">
        <v>13368</v>
      </c>
      <c r="H63" s="4">
        <f t="shared" si="7"/>
        <v>2452.33</v>
      </c>
      <c r="I63" s="24">
        <f t="shared" si="5"/>
        <v>0.18340000000000001</v>
      </c>
      <c r="J63" s="23">
        <v>0</v>
      </c>
      <c r="K63" s="23"/>
      <c r="L63" s="23"/>
      <c r="M63" s="23"/>
      <c r="N63" s="23"/>
      <c r="O63" s="23"/>
      <c r="P63" s="23"/>
      <c r="Q63" s="23">
        <v>2000</v>
      </c>
      <c r="R63" s="23"/>
      <c r="S63" s="23"/>
      <c r="T63" s="23"/>
      <c r="U63" s="23">
        <v>452.33</v>
      </c>
      <c r="V63" s="79" t="s">
        <v>540</v>
      </c>
      <c r="W63" s="23">
        <f t="shared" si="6"/>
        <v>10915.67</v>
      </c>
      <c r="X63" s="79"/>
      <c r="Y63" s="79"/>
      <c r="Z63" s="79"/>
      <c r="AA63" s="82"/>
      <c r="AB63" s="82"/>
      <c r="AC63" s="82"/>
      <c r="AD63" s="23"/>
      <c r="AE63" s="7" t="s">
        <v>390</v>
      </c>
    </row>
    <row r="64" spans="1:31" x14ac:dyDescent="0.2">
      <c r="A64" s="141" t="s">
        <v>62</v>
      </c>
      <c r="B64" s="9" t="s">
        <v>495</v>
      </c>
      <c r="C64" s="9" t="s">
        <v>495</v>
      </c>
      <c r="D64" s="9">
        <v>0</v>
      </c>
      <c r="E64" s="9"/>
      <c r="F64" s="9">
        <v>0</v>
      </c>
      <c r="G64" s="4">
        <v>29014</v>
      </c>
      <c r="H64" s="4">
        <f t="shared" si="7"/>
        <v>20310</v>
      </c>
      <c r="I64" s="24">
        <f t="shared" si="5"/>
        <v>0.7</v>
      </c>
      <c r="J64" s="23">
        <v>1500</v>
      </c>
      <c r="K64" s="23">
        <v>1500</v>
      </c>
      <c r="L64" s="23">
        <v>1500</v>
      </c>
      <c r="M64" s="23">
        <v>0</v>
      </c>
      <c r="N64" s="23"/>
      <c r="O64" s="23">
        <v>1000</v>
      </c>
      <c r="P64" s="23">
        <v>1500</v>
      </c>
      <c r="Q64" s="23">
        <v>2000</v>
      </c>
      <c r="R64" s="23">
        <v>1500</v>
      </c>
      <c r="S64" s="23">
        <v>1500</v>
      </c>
      <c r="T64" s="23">
        <v>2500</v>
      </c>
      <c r="U64" s="23">
        <v>5810</v>
      </c>
      <c r="V64" s="79" t="s">
        <v>541</v>
      </c>
      <c r="W64" s="23">
        <f t="shared" si="6"/>
        <v>8704</v>
      </c>
      <c r="X64" s="79"/>
      <c r="Y64" s="79"/>
      <c r="Z64" s="79"/>
      <c r="AA64" s="82"/>
      <c r="AB64" s="82"/>
      <c r="AC64" s="82"/>
      <c r="AD64" s="23"/>
      <c r="AE64" s="158" t="s">
        <v>391</v>
      </c>
    </row>
    <row r="65" spans="1:31" x14ac:dyDescent="0.2">
      <c r="A65" s="141" t="s">
        <v>63</v>
      </c>
      <c r="B65" s="9" t="s">
        <v>495</v>
      </c>
      <c r="C65" s="9" t="s">
        <v>495</v>
      </c>
      <c r="D65" s="9" t="s">
        <v>495</v>
      </c>
      <c r="E65" s="9"/>
      <c r="F65" s="9">
        <v>0</v>
      </c>
      <c r="G65" s="4">
        <v>9094</v>
      </c>
      <c r="H65" s="4">
        <f t="shared" si="7"/>
        <v>5638</v>
      </c>
      <c r="I65" s="24">
        <f t="shared" si="5"/>
        <v>0.62</v>
      </c>
      <c r="J65" s="23">
        <v>390</v>
      </c>
      <c r="K65" s="23">
        <v>390</v>
      </c>
      <c r="L65" s="23">
        <v>390</v>
      </c>
      <c r="M65" s="23">
        <v>390</v>
      </c>
      <c r="N65" s="23">
        <v>390</v>
      </c>
      <c r="O65" s="23">
        <v>390</v>
      </c>
      <c r="P65" s="23">
        <v>390</v>
      </c>
      <c r="Q65" s="23">
        <v>390</v>
      </c>
      <c r="R65" s="23">
        <v>390</v>
      </c>
      <c r="S65" s="23">
        <v>390</v>
      </c>
      <c r="T65" s="23">
        <v>390</v>
      </c>
      <c r="U65" s="23">
        <v>1348</v>
      </c>
      <c r="V65" s="79" t="s">
        <v>542</v>
      </c>
      <c r="W65" s="23">
        <f t="shared" si="6"/>
        <v>3456</v>
      </c>
      <c r="X65" s="79"/>
      <c r="Y65" s="79"/>
      <c r="Z65" s="79"/>
      <c r="AA65" s="82"/>
      <c r="AB65" s="82"/>
      <c r="AC65" s="82"/>
      <c r="AD65" s="23"/>
      <c r="AE65" s="158" t="s">
        <v>391</v>
      </c>
    </row>
    <row r="66" spans="1:31" x14ac:dyDescent="0.2">
      <c r="A66" s="141" t="s">
        <v>64</v>
      </c>
      <c r="B66" s="9" t="s">
        <v>495</v>
      </c>
      <c r="C66" s="9" t="s">
        <v>495</v>
      </c>
      <c r="D66" s="9">
        <v>0</v>
      </c>
      <c r="E66" s="9"/>
      <c r="F66" s="9">
        <v>0</v>
      </c>
      <c r="G66" s="4">
        <v>19835</v>
      </c>
      <c r="H66" s="4">
        <f t="shared" si="7"/>
        <v>8000</v>
      </c>
      <c r="I66" s="24">
        <f t="shared" si="5"/>
        <v>0.40329999999999999</v>
      </c>
      <c r="J66" s="23">
        <v>0</v>
      </c>
      <c r="K66" s="23"/>
      <c r="L66" s="23"/>
      <c r="M66" s="23"/>
      <c r="N66" s="23"/>
      <c r="O66" s="23"/>
      <c r="P66" s="23">
        <v>3500</v>
      </c>
      <c r="Q66" s="23">
        <v>1000</v>
      </c>
      <c r="R66" s="23">
        <v>1000</v>
      </c>
      <c r="S66" s="23">
        <v>2000</v>
      </c>
      <c r="T66" s="23"/>
      <c r="U66" s="23">
        <v>500</v>
      </c>
      <c r="V66" s="79" t="s">
        <v>543</v>
      </c>
      <c r="W66" s="23">
        <f t="shared" si="6"/>
        <v>11835</v>
      </c>
      <c r="X66" s="79"/>
      <c r="Y66" s="79"/>
      <c r="Z66" s="79"/>
      <c r="AA66" s="82"/>
      <c r="AB66" s="82"/>
      <c r="AC66" s="82"/>
      <c r="AD66" s="23"/>
      <c r="AE66" s="158" t="s">
        <v>391</v>
      </c>
    </row>
    <row r="67" spans="1:31" x14ac:dyDescent="0.2">
      <c r="A67" s="141" t="s">
        <v>65</v>
      </c>
      <c r="B67" s="9" t="s">
        <v>495</v>
      </c>
      <c r="C67" s="9" t="s">
        <v>495</v>
      </c>
      <c r="D67" s="9" t="s">
        <v>495</v>
      </c>
      <c r="E67" s="9"/>
      <c r="F67" s="9" t="s">
        <v>495</v>
      </c>
      <c r="G67" s="4">
        <v>26899</v>
      </c>
      <c r="H67" s="4">
        <f t="shared" si="7"/>
        <v>26899</v>
      </c>
      <c r="I67" s="24">
        <f t="shared" si="5"/>
        <v>1</v>
      </c>
      <c r="J67" s="23">
        <v>2215</v>
      </c>
      <c r="K67" s="23">
        <v>2244</v>
      </c>
      <c r="L67" s="23">
        <v>2244</v>
      </c>
      <c r="M67" s="23">
        <v>2244</v>
      </c>
      <c r="N67" s="23">
        <v>2244</v>
      </c>
      <c r="O67" s="23">
        <v>2244</v>
      </c>
      <c r="P67" s="23">
        <v>2244</v>
      </c>
      <c r="Q67" s="23">
        <v>2244</v>
      </c>
      <c r="R67" s="23">
        <v>2244</v>
      </c>
      <c r="S67" s="23">
        <v>2244</v>
      </c>
      <c r="T67" s="23">
        <v>2244</v>
      </c>
      <c r="U67" s="23">
        <v>2244</v>
      </c>
      <c r="V67" s="79" t="s">
        <v>544</v>
      </c>
      <c r="W67" s="23">
        <f t="shared" si="6"/>
        <v>0</v>
      </c>
      <c r="X67" s="79"/>
      <c r="Y67" s="79"/>
      <c r="Z67" s="79"/>
      <c r="AA67" s="82"/>
      <c r="AB67" s="82"/>
      <c r="AC67" s="82"/>
      <c r="AD67" s="23"/>
      <c r="AE67" s="7" t="s">
        <v>392</v>
      </c>
    </row>
    <row r="68" spans="1:31" x14ac:dyDescent="0.2">
      <c r="A68" s="141" t="s">
        <v>66</v>
      </c>
      <c r="B68" s="9" t="s">
        <v>495</v>
      </c>
      <c r="C68" s="9" t="s">
        <v>495</v>
      </c>
      <c r="D68" s="9" t="s">
        <v>495</v>
      </c>
      <c r="E68" s="9"/>
      <c r="F68" s="9" t="s">
        <v>495</v>
      </c>
      <c r="G68" s="4">
        <v>8602</v>
      </c>
      <c r="H68" s="4">
        <f t="shared" si="7"/>
        <v>8602.0000000000018</v>
      </c>
      <c r="I68" s="24">
        <f t="shared" si="5"/>
        <v>1</v>
      </c>
      <c r="J68" s="23">
        <v>708.31</v>
      </c>
      <c r="K68" s="23">
        <v>717.69</v>
      </c>
      <c r="L68" s="23">
        <v>717.6</v>
      </c>
      <c r="M68" s="23">
        <v>717.6</v>
      </c>
      <c r="N68" s="23">
        <v>717.6</v>
      </c>
      <c r="O68" s="23">
        <v>717.6</v>
      </c>
      <c r="P68" s="23">
        <v>717.6</v>
      </c>
      <c r="Q68" s="23">
        <v>717.6</v>
      </c>
      <c r="R68" s="23">
        <v>717.6</v>
      </c>
      <c r="S68" s="23">
        <v>717.6</v>
      </c>
      <c r="T68" s="23">
        <v>717.6</v>
      </c>
      <c r="U68" s="23">
        <v>717.6</v>
      </c>
      <c r="V68" s="79" t="s">
        <v>545</v>
      </c>
      <c r="W68" s="23">
        <f t="shared" si="6"/>
        <v>0</v>
      </c>
      <c r="X68" s="79"/>
      <c r="Y68" s="79"/>
      <c r="Z68" s="79"/>
      <c r="AA68" s="82"/>
      <c r="AB68" s="82"/>
      <c r="AC68" s="82"/>
      <c r="AD68" s="23"/>
      <c r="AE68" s="7" t="s">
        <v>392</v>
      </c>
    </row>
    <row r="69" spans="1:31" x14ac:dyDescent="0.2">
      <c r="A69" s="141" t="s">
        <v>67</v>
      </c>
      <c r="B69" s="9" t="s">
        <v>495</v>
      </c>
      <c r="C69" s="9" t="s">
        <v>495</v>
      </c>
      <c r="D69" s="9" t="s">
        <v>495</v>
      </c>
      <c r="E69" s="9"/>
      <c r="F69" s="9" t="s">
        <v>495</v>
      </c>
      <c r="G69" s="4">
        <v>4369</v>
      </c>
      <c r="H69" s="4">
        <f t="shared" si="7"/>
        <v>4369.0000000000018</v>
      </c>
      <c r="I69" s="24">
        <f t="shared" si="5"/>
        <v>1</v>
      </c>
      <c r="J69" s="23">
        <v>359.81</v>
      </c>
      <c r="K69" s="23">
        <v>364.49</v>
      </c>
      <c r="L69" s="23">
        <v>364.47</v>
      </c>
      <c r="M69" s="23">
        <v>364.47</v>
      </c>
      <c r="N69" s="23">
        <v>364.47</v>
      </c>
      <c r="O69" s="23">
        <v>364.47</v>
      </c>
      <c r="P69" s="23">
        <v>364.47</v>
      </c>
      <c r="Q69" s="23">
        <v>364.47</v>
      </c>
      <c r="R69" s="23">
        <v>364.47</v>
      </c>
      <c r="S69" s="23">
        <v>364.47</v>
      </c>
      <c r="T69" s="23">
        <v>364.47</v>
      </c>
      <c r="U69" s="23">
        <v>364.47</v>
      </c>
      <c r="V69" s="79" t="s">
        <v>546</v>
      </c>
      <c r="W69" s="23">
        <f t="shared" si="6"/>
        <v>0</v>
      </c>
      <c r="X69" s="79"/>
      <c r="Y69" s="79"/>
      <c r="Z69" s="79"/>
      <c r="AA69" s="82"/>
      <c r="AB69" s="82"/>
      <c r="AC69" s="82"/>
      <c r="AD69" s="23"/>
      <c r="AE69" s="7" t="s">
        <v>392</v>
      </c>
    </row>
    <row r="70" spans="1:31" x14ac:dyDescent="0.2">
      <c r="A70" s="141" t="s">
        <v>68</v>
      </c>
      <c r="B70" s="9" t="s">
        <v>495</v>
      </c>
      <c r="C70" s="9" t="s">
        <v>495</v>
      </c>
      <c r="D70" s="9" t="s">
        <v>495</v>
      </c>
      <c r="E70" s="9"/>
      <c r="F70" s="9" t="s">
        <v>495</v>
      </c>
      <c r="G70" s="4">
        <v>9731</v>
      </c>
      <c r="H70" s="4">
        <f t="shared" si="7"/>
        <v>9731.0000000000018</v>
      </c>
      <c r="I70" s="24">
        <f t="shared" si="5"/>
        <v>1</v>
      </c>
      <c r="J70" s="23">
        <v>973.1</v>
      </c>
      <c r="K70" s="23">
        <v>973.1</v>
      </c>
      <c r="L70" s="23">
        <v>973.1</v>
      </c>
      <c r="M70" s="23">
        <v>973.1</v>
      </c>
      <c r="N70" s="23">
        <v>973.1</v>
      </c>
      <c r="O70" s="23">
        <v>973.1</v>
      </c>
      <c r="P70" s="23">
        <v>973.1</v>
      </c>
      <c r="Q70" s="23">
        <v>973.1</v>
      </c>
      <c r="R70" s="23">
        <v>973.1</v>
      </c>
      <c r="S70" s="23">
        <v>973.1</v>
      </c>
      <c r="T70" s="23"/>
      <c r="U70" s="23"/>
      <c r="V70" s="79" t="s">
        <v>547</v>
      </c>
      <c r="W70" s="23">
        <f t="shared" si="6"/>
        <v>0</v>
      </c>
      <c r="X70" s="79"/>
      <c r="Y70" s="79"/>
      <c r="Z70" s="79"/>
      <c r="AA70" s="82"/>
      <c r="AB70" s="82"/>
      <c r="AC70" s="82"/>
      <c r="AD70" s="23"/>
      <c r="AE70" s="7" t="s">
        <v>387</v>
      </c>
    </row>
    <row r="71" spans="1:31" x14ac:dyDescent="0.2">
      <c r="A71" s="141" t="s">
        <v>69</v>
      </c>
      <c r="B71" s="9" t="s">
        <v>495</v>
      </c>
      <c r="C71" s="9" t="s">
        <v>495</v>
      </c>
      <c r="D71" s="9" t="s">
        <v>495</v>
      </c>
      <c r="E71" s="9"/>
      <c r="F71" s="9">
        <v>0</v>
      </c>
      <c r="G71" s="4">
        <v>2684</v>
      </c>
      <c r="H71" s="4">
        <f t="shared" si="7"/>
        <v>250</v>
      </c>
      <c r="I71" s="24">
        <f t="shared" si="5"/>
        <v>9.3100000000000002E-2</v>
      </c>
      <c r="J71" s="23">
        <v>0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>
        <v>250</v>
      </c>
      <c r="V71" s="79" t="s">
        <v>548</v>
      </c>
      <c r="W71" s="23">
        <f t="shared" si="6"/>
        <v>2434</v>
      </c>
      <c r="X71" s="79"/>
      <c r="Y71" s="79"/>
      <c r="Z71" s="79"/>
      <c r="AA71" s="82"/>
      <c r="AB71" s="82"/>
      <c r="AC71" s="82"/>
      <c r="AD71" s="23"/>
      <c r="AE71" s="7" t="s">
        <v>387</v>
      </c>
    </row>
    <row r="72" spans="1:31" x14ac:dyDescent="0.2">
      <c r="A72" s="141" t="s">
        <v>70</v>
      </c>
      <c r="B72" s="9" t="s">
        <v>495</v>
      </c>
      <c r="C72" s="9" t="s">
        <v>495</v>
      </c>
      <c r="D72" s="9" t="s">
        <v>495</v>
      </c>
      <c r="E72" s="9"/>
      <c r="F72" s="9">
        <v>0</v>
      </c>
      <c r="G72" s="4">
        <v>2684</v>
      </c>
      <c r="H72" s="4">
        <f t="shared" si="7"/>
        <v>2684</v>
      </c>
      <c r="I72" s="24">
        <f t="shared" si="5"/>
        <v>1</v>
      </c>
      <c r="J72" s="23">
        <v>0</v>
      </c>
      <c r="K72" s="23"/>
      <c r="L72" s="23"/>
      <c r="M72" s="23"/>
      <c r="N72" s="23"/>
      <c r="O72" s="23"/>
      <c r="P72" s="23"/>
      <c r="Q72" s="23"/>
      <c r="R72" s="23"/>
      <c r="S72" s="23"/>
      <c r="T72" s="23">
        <v>2684</v>
      </c>
      <c r="U72" s="23"/>
      <c r="V72" s="79" t="s">
        <v>549</v>
      </c>
      <c r="W72" s="23">
        <f t="shared" si="6"/>
        <v>0</v>
      </c>
      <c r="X72" s="79"/>
      <c r="Y72" s="79"/>
      <c r="Z72" s="79"/>
      <c r="AA72" s="82"/>
      <c r="AB72" s="82"/>
      <c r="AC72" s="82"/>
      <c r="AD72" s="23"/>
      <c r="AE72" s="7" t="s">
        <v>387</v>
      </c>
    </row>
    <row r="73" spans="1:31" x14ac:dyDescent="0.2">
      <c r="A73" s="141" t="s">
        <v>71</v>
      </c>
      <c r="B73" s="9" t="s">
        <v>495</v>
      </c>
      <c r="C73" s="9" t="s">
        <v>495</v>
      </c>
      <c r="D73" s="9" t="s">
        <v>495</v>
      </c>
      <c r="E73" s="9"/>
      <c r="F73" s="9">
        <v>0</v>
      </c>
      <c r="G73" s="4">
        <v>63453</v>
      </c>
      <c r="H73" s="4">
        <f t="shared" si="7"/>
        <v>63265</v>
      </c>
      <c r="I73" s="24">
        <f t="shared" si="5"/>
        <v>0.997</v>
      </c>
      <c r="J73" s="23">
        <v>5287.74</v>
      </c>
      <c r="K73" s="23">
        <v>5287.74</v>
      </c>
      <c r="L73" s="23">
        <v>5287.74</v>
      </c>
      <c r="M73" s="23">
        <v>4000</v>
      </c>
      <c r="N73" s="23">
        <v>4000</v>
      </c>
      <c r="O73" s="23"/>
      <c r="P73" s="23">
        <v>4000</v>
      </c>
      <c r="Q73" s="23">
        <v>4000</v>
      </c>
      <c r="R73" s="23">
        <v>6000</v>
      </c>
      <c r="S73" s="23">
        <v>12000</v>
      </c>
      <c r="T73" s="23">
        <v>6000</v>
      </c>
      <c r="U73" s="23">
        <v>7401.78</v>
      </c>
      <c r="V73" s="79" t="s">
        <v>550</v>
      </c>
      <c r="W73" s="23">
        <f t="shared" si="6"/>
        <v>188</v>
      </c>
      <c r="X73" s="79"/>
      <c r="Y73" s="79"/>
      <c r="Z73" s="79"/>
      <c r="AA73" s="82"/>
      <c r="AB73" s="82"/>
      <c r="AC73" s="82"/>
      <c r="AD73" s="23"/>
      <c r="AE73" s="7" t="s">
        <v>393</v>
      </c>
    </row>
    <row r="74" spans="1:31" x14ac:dyDescent="0.2">
      <c r="A74" s="141" t="s">
        <v>72</v>
      </c>
      <c r="B74" s="9" t="s">
        <v>495</v>
      </c>
      <c r="C74" s="9" t="s">
        <v>495</v>
      </c>
      <c r="D74" s="9">
        <v>0</v>
      </c>
      <c r="E74" s="9"/>
      <c r="F74" s="9" t="s">
        <v>495</v>
      </c>
      <c r="G74" s="4">
        <v>4346</v>
      </c>
      <c r="H74" s="4">
        <f t="shared" si="7"/>
        <v>4346</v>
      </c>
      <c r="I74" s="24">
        <f t="shared" si="5"/>
        <v>1</v>
      </c>
      <c r="J74" s="23">
        <v>353.38</v>
      </c>
      <c r="K74" s="23">
        <v>353.38</v>
      </c>
      <c r="L74" s="23">
        <v>363.96</v>
      </c>
      <c r="M74" s="23">
        <v>363.92</v>
      </c>
      <c r="N74" s="23">
        <v>363.92</v>
      </c>
      <c r="O74" s="23">
        <v>363.92</v>
      </c>
      <c r="P74" s="23">
        <v>363.92</v>
      </c>
      <c r="Q74" s="23">
        <v>363.92</v>
      </c>
      <c r="R74" s="23">
        <v>363.92</v>
      </c>
      <c r="S74" s="23">
        <v>363.92</v>
      </c>
      <c r="T74" s="23">
        <v>363.92</v>
      </c>
      <c r="U74" s="23">
        <v>363.92</v>
      </c>
      <c r="V74" s="79" t="s">
        <v>551</v>
      </c>
      <c r="W74" s="23">
        <f t="shared" si="6"/>
        <v>0</v>
      </c>
      <c r="X74" s="79"/>
      <c r="Y74" s="79"/>
      <c r="Z74" s="79"/>
      <c r="AA74" s="82"/>
      <c r="AB74" s="82"/>
      <c r="AC74" s="82"/>
      <c r="AD74" s="23"/>
      <c r="AE74" s="7" t="s">
        <v>393</v>
      </c>
    </row>
    <row r="75" spans="1:31" x14ac:dyDescent="0.2">
      <c r="A75" s="141" t="s">
        <v>73</v>
      </c>
      <c r="B75" s="9" t="s">
        <v>495</v>
      </c>
      <c r="C75" s="9" t="s">
        <v>495</v>
      </c>
      <c r="D75" s="9" t="s">
        <v>495</v>
      </c>
      <c r="E75" s="9"/>
      <c r="F75" s="9" t="s">
        <v>495</v>
      </c>
      <c r="G75" s="4">
        <v>12290</v>
      </c>
      <c r="H75" s="4">
        <f t="shared" si="7"/>
        <v>12290</v>
      </c>
      <c r="I75" s="24">
        <f t="shared" si="5"/>
        <v>1</v>
      </c>
      <c r="J75" s="23">
        <v>1011.9</v>
      </c>
      <c r="K75" s="23">
        <v>1025.3</v>
      </c>
      <c r="L75" s="23">
        <v>1025.28</v>
      </c>
      <c r="M75" s="23">
        <v>1025.28</v>
      </c>
      <c r="N75" s="23">
        <v>1025.28</v>
      </c>
      <c r="O75" s="23">
        <v>1025.28</v>
      </c>
      <c r="P75" s="23">
        <v>1025.28</v>
      </c>
      <c r="Q75" s="23">
        <v>1025.28</v>
      </c>
      <c r="R75" s="23">
        <v>1025.28</v>
      </c>
      <c r="S75" s="23">
        <v>1025.28</v>
      </c>
      <c r="T75" s="23">
        <v>1025.28</v>
      </c>
      <c r="U75" s="23">
        <v>1025.28</v>
      </c>
      <c r="V75" s="79" t="s">
        <v>552</v>
      </c>
      <c r="W75" s="23">
        <f t="shared" si="6"/>
        <v>0</v>
      </c>
      <c r="X75" s="79"/>
      <c r="Y75" s="79"/>
      <c r="Z75" s="79"/>
      <c r="AA75" s="82"/>
      <c r="AB75" s="82"/>
      <c r="AC75" s="82"/>
      <c r="AD75" s="23"/>
      <c r="AE75" s="7" t="s">
        <v>392</v>
      </c>
    </row>
    <row r="76" spans="1:31" x14ac:dyDescent="0.2">
      <c r="A76" s="141" t="s">
        <v>74</v>
      </c>
      <c r="B76" s="9" t="s">
        <v>495</v>
      </c>
      <c r="C76" s="9" t="s">
        <v>495</v>
      </c>
      <c r="D76" s="9" t="s">
        <v>495</v>
      </c>
      <c r="E76" s="9"/>
      <c r="F76" s="9">
        <v>0</v>
      </c>
      <c r="G76" s="4">
        <v>16112</v>
      </c>
      <c r="H76" s="4">
        <f t="shared" si="7"/>
        <v>16112</v>
      </c>
      <c r="I76" s="24">
        <f t="shared" si="5"/>
        <v>1</v>
      </c>
      <c r="J76" s="23">
        <v>1342.67</v>
      </c>
      <c r="K76" s="23">
        <v>1342.67</v>
      </c>
      <c r="L76" s="23">
        <v>1342.67</v>
      </c>
      <c r="M76" s="23">
        <v>1342.67</v>
      </c>
      <c r="N76" s="23">
        <v>1342.67</v>
      </c>
      <c r="O76" s="23">
        <v>1342.67</v>
      </c>
      <c r="P76" s="23">
        <v>1342.67</v>
      </c>
      <c r="Q76" s="23">
        <v>1342.67</v>
      </c>
      <c r="R76" s="23">
        <v>1342.67</v>
      </c>
      <c r="S76" s="23">
        <v>1342.67</v>
      </c>
      <c r="T76" s="23">
        <v>1342.67</v>
      </c>
      <c r="U76" s="23">
        <v>1342.63</v>
      </c>
      <c r="V76" s="79" t="s">
        <v>553</v>
      </c>
      <c r="W76" s="23">
        <f t="shared" si="6"/>
        <v>0</v>
      </c>
      <c r="X76" s="79"/>
      <c r="Y76" s="79"/>
      <c r="Z76" s="79"/>
      <c r="AA76" s="23"/>
      <c r="AB76" s="23"/>
      <c r="AC76" s="82"/>
      <c r="AD76" s="23"/>
      <c r="AE76" s="7" t="s">
        <v>392</v>
      </c>
    </row>
    <row r="77" spans="1:31" x14ac:dyDescent="0.2">
      <c r="A77" s="141" t="s">
        <v>75</v>
      </c>
      <c r="B77" s="9" t="s">
        <v>495</v>
      </c>
      <c r="C77" s="9" t="s">
        <v>495</v>
      </c>
      <c r="D77" s="9">
        <v>0</v>
      </c>
      <c r="E77" s="9"/>
      <c r="F77" s="9">
        <v>0</v>
      </c>
      <c r="G77" s="4">
        <v>10773</v>
      </c>
      <c r="H77" s="4">
        <f t="shared" si="7"/>
        <v>2087.33</v>
      </c>
      <c r="I77" s="24">
        <f t="shared" si="5"/>
        <v>0.1938</v>
      </c>
      <c r="J77" s="23">
        <v>0</v>
      </c>
      <c r="K77" s="23">
        <v>1000</v>
      </c>
      <c r="L77" s="23"/>
      <c r="M77" s="23"/>
      <c r="N77" s="23"/>
      <c r="O77" s="23"/>
      <c r="P77" s="23">
        <v>500</v>
      </c>
      <c r="Q77" s="23"/>
      <c r="R77" s="23"/>
      <c r="S77" s="23">
        <v>200</v>
      </c>
      <c r="T77" s="23"/>
      <c r="U77" s="23">
        <v>387.33</v>
      </c>
      <c r="V77" s="79" t="s">
        <v>554</v>
      </c>
      <c r="W77" s="23">
        <f t="shared" si="6"/>
        <v>8685.67</v>
      </c>
      <c r="X77" s="79"/>
      <c r="Y77" s="79"/>
      <c r="Z77" s="79"/>
      <c r="AA77" s="23"/>
      <c r="AB77" s="23"/>
      <c r="AC77" s="82"/>
      <c r="AD77" s="23"/>
      <c r="AE77" s="7" t="s">
        <v>390</v>
      </c>
    </row>
    <row r="78" spans="1:31" x14ac:dyDescent="0.2">
      <c r="A78" s="141" t="s">
        <v>76</v>
      </c>
      <c r="B78" s="9" t="s">
        <v>495</v>
      </c>
      <c r="C78" s="9" t="s">
        <v>495</v>
      </c>
      <c r="D78" s="9">
        <v>0</v>
      </c>
      <c r="E78" s="9"/>
      <c r="F78" s="9">
        <v>0</v>
      </c>
      <c r="G78" s="4">
        <v>11851</v>
      </c>
      <c r="H78" s="4">
        <f t="shared" si="7"/>
        <v>1500</v>
      </c>
      <c r="I78" s="24">
        <f t="shared" si="5"/>
        <v>0.12659999999999999</v>
      </c>
      <c r="J78" s="23">
        <v>0</v>
      </c>
      <c r="K78" s="23"/>
      <c r="L78" s="23"/>
      <c r="M78" s="23"/>
      <c r="N78" s="23"/>
      <c r="O78" s="23"/>
      <c r="P78" s="23"/>
      <c r="Q78" s="23"/>
      <c r="R78" s="23"/>
      <c r="S78" s="23"/>
      <c r="T78" s="23">
        <v>1500</v>
      </c>
      <c r="U78" s="23"/>
      <c r="V78" s="79" t="s">
        <v>555</v>
      </c>
      <c r="W78" s="23">
        <f t="shared" si="6"/>
        <v>10351</v>
      </c>
      <c r="X78" s="79"/>
      <c r="Y78" s="79"/>
      <c r="Z78" s="79"/>
      <c r="AA78" s="23"/>
      <c r="AB78" s="23"/>
      <c r="AC78" s="82"/>
      <c r="AD78" s="23"/>
      <c r="AE78" s="158" t="s">
        <v>391</v>
      </c>
    </row>
    <row r="79" spans="1:31" x14ac:dyDescent="0.2">
      <c r="A79" s="141" t="s">
        <v>77</v>
      </c>
      <c r="B79" s="9" t="s">
        <v>495</v>
      </c>
      <c r="C79" s="9">
        <v>0</v>
      </c>
      <c r="D79" s="9">
        <v>0</v>
      </c>
      <c r="E79" s="9"/>
      <c r="F79" s="9">
        <v>0</v>
      </c>
      <c r="G79" s="4">
        <v>17785</v>
      </c>
      <c r="H79" s="4">
        <f t="shared" si="7"/>
        <v>17785</v>
      </c>
      <c r="I79" s="24">
        <f t="shared" si="5"/>
        <v>1</v>
      </c>
      <c r="J79" s="23">
        <v>0</v>
      </c>
      <c r="K79" s="23">
        <v>4359</v>
      </c>
      <c r="L79" s="23"/>
      <c r="M79" s="23"/>
      <c r="N79" s="23">
        <v>4533.5</v>
      </c>
      <c r="O79" s="23"/>
      <c r="P79" s="23"/>
      <c r="Q79" s="23"/>
      <c r="R79" s="23"/>
      <c r="S79" s="23"/>
      <c r="T79" s="23"/>
      <c r="U79" s="23">
        <v>8892.5</v>
      </c>
      <c r="V79" s="79" t="s">
        <v>556</v>
      </c>
      <c r="W79" s="23">
        <f t="shared" si="6"/>
        <v>0</v>
      </c>
      <c r="X79" s="79"/>
      <c r="Y79" s="79"/>
      <c r="Z79" s="79"/>
      <c r="AA79" s="23"/>
      <c r="AB79" s="23"/>
      <c r="AC79" s="82"/>
      <c r="AD79" s="23"/>
      <c r="AE79" s="7" t="s">
        <v>387</v>
      </c>
    </row>
    <row r="80" spans="1:31" x14ac:dyDescent="0.2">
      <c r="A80" s="141"/>
      <c r="B80" s="9"/>
      <c r="C80" s="9"/>
      <c r="E80" s="9"/>
      <c r="F80" s="9"/>
      <c r="G80" s="4"/>
      <c r="H80" s="4">
        <f t="shared" si="7"/>
        <v>30000</v>
      </c>
      <c r="I80" s="24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79"/>
      <c r="W80" s="23">
        <f t="shared" si="6"/>
        <v>-30000</v>
      </c>
      <c r="X80" s="79"/>
      <c r="Y80" s="79"/>
      <c r="Z80" s="79"/>
      <c r="AA80" s="23"/>
      <c r="AB80" s="175">
        <v>30000</v>
      </c>
      <c r="AC80" s="82"/>
      <c r="AD80" s="23"/>
    </row>
    <row r="81" spans="1:34" x14ac:dyDescent="0.2">
      <c r="W81" s="3"/>
    </row>
    <row r="82" spans="1:34" x14ac:dyDescent="0.2">
      <c r="A82" t="s">
        <v>6</v>
      </c>
      <c r="G82" s="17">
        <f>SUM(G49:G81)</f>
        <v>524093</v>
      </c>
      <c r="H82" s="11">
        <f>SUM(H49:H81)</f>
        <v>444698.33</v>
      </c>
      <c r="I82" s="4"/>
      <c r="J82" s="4">
        <f t="shared" ref="J82:U82" si="8">SUM(J49:J81)</f>
        <v>26103.270000000004</v>
      </c>
      <c r="K82" s="4">
        <f t="shared" si="8"/>
        <v>36135.269999999997</v>
      </c>
      <c r="L82" s="4">
        <f t="shared" si="8"/>
        <v>28507.979999999996</v>
      </c>
      <c r="M82" s="4">
        <f t="shared" si="8"/>
        <v>28157.949999999997</v>
      </c>
      <c r="N82" s="4">
        <f t="shared" si="8"/>
        <v>38403.449999999997</v>
      </c>
      <c r="O82" s="4">
        <f t="shared" si="8"/>
        <v>26012.949999999997</v>
      </c>
      <c r="P82" s="4">
        <f t="shared" si="8"/>
        <v>32012.949999999997</v>
      </c>
      <c r="Q82" s="4">
        <f t="shared" si="8"/>
        <v>33012.949999999997</v>
      </c>
      <c r="R82" s="4">
        <f t="shared" si="8"/>
        <v>37512.949999999997</v>
      </c>
      <c r="S82" s="4">
        <f t="shared" si="8"/>
        <v>42115.959999999992</v>
      </c>
      <c r="T82" s="4">
        <f t="shared" si="8"/>
        <v>33984.979999999996</v>
      </c>
      <c r="U82" s="4">
        <f t="shared" si="8"/>
        <v>49827.61</v>
      </c>
      <c r="V82" s="77"/>
      <c r="W82" s="3">
        <f>G82-H82</f>
        <v>79394.669999999984</v>
      </c>
      <c r="X82" s="4"/>
      <c r="Y82" s="4"/>
      <c r="Z82" s="4"/>
      <c r="AA82" s="83">
        <f>SUM(AA49:AA81)</f>
        <v>0</v>
      </c>
      <c r="AB82" s="83">
        <f t="shared" ref="AB82:AC82" si="9">SUM(AB49:AB81)</f>
        <v>30000</v>
      </c>
      <c r="AC82" s="83">
        <f t="shared" si="9"/>
        <v>2910.06</v>
      </c>
      <c r="AH82" s="4">
        <f>ROUND(SUM(J82:U82),0)</f>
        <v>411788</v>
      </c>
    </row>
    <row r="83" spans="1:34" x14ac:dyDescent="0.2">
      <c r="W83" s="3"/>
    </row>
    <row r="84" spans="1:34" ht="15.75" x14ac:dyDescent="0.25">
      <c r="G84" s="150" t="s">
        <v>8</v>
      </c>
      <c r="W84" s="3"/>
    </row>
    <row r="85" spans="1:34" x14ac:dyDescent="0.2">
      <c r="W85" s="3"/>
    </row>
    <row r="86" spans="1:34" ht="16.5" x14ac:dyDescent="0.25">
      <c r="B86" s="8"/>
      <c r="C86" s="8"/>
      <c r="E86" s="8"/>
      <c r="F86" s="8"/>
      <c r="G86" s="20" t="str">
        <f>$G$3</f>
        <v>2020 PARISH SHARE INFORMATION</v>
      </c>
      <c r="H86" s="14"/>
      <c r="W86" s="3"/>
    </row>
    <row r="87" spans="1:34" x14ac:dyDescent="0.2">
      <c r="G87" s="19"/>
      <c r="H87" s="13"/>
      <c r="W87" s="3"/>
    </row>
    <row r="88" spans="1:34" ht="16.5" x14ac:dyDescent="0.25">
      <c r="A88" s="1" t="s">
        <v>1</v>
      </c>
      <c r="B88" s="151" t="str">
        <f>$B$5</f>
        <v>RM</v>
      </c>
      <c r="C88" s="151" t="str">
        <f>$C$5</f>
        <v>RF</v>
      </c>
      <c r="D88" s="151" t="str">
        <f>$D$5</f>
        <v>Accts</v>
      </c>
      <c r="E88" s="151"/>
      <c r="F88" s="151" t="str">
        <f>$F$5</f>
        <v>Share DD</v>
      </c>
      <c r="G88" s="153" t="str">
        <f>$G$5</f>
        <v xml:space="preserve">2020 Share </v>
      </c>
      <c r="H88" s="154" t="str">
        <f>$H$5</f>
        <v xml:space="preserve">2020 Paid </v>
      </c>
      <c r="I88" s="154" t="str">
        <f>$I$5</f>
        <v xml:space="preserve">% Paid </v>
      </c>
      <c r="J88" s="155">
        <f>$J$5</f>
        <v>43861</v>
      </c>
      <c r="K88" s="155">
        <f>$K$5</f>
        <v>43890</v>
      </c>
      <c r="L88" s="155">
        <f>$L$5</f>
        <v>43921</v>
      </c>
      <c r="M88" s="155">
        <f>$M$5</f>
        <v>43951</v>
      </c>
      <c r="N88" s="155">
        <f>$N$5</f>
        <v>43982</v>
      </c>
      <c r="O88" s="155">
        <f>$O$5</f>
        <v>44012</v>
      </c>
      <c r="P88" s="155">
        <f>$P$5</f>
        <v>44043</v>
      </c>
      <c r="Q88" s="155">
        <f>$Q$5</f>
        <v>44074</v>
      </c>
      <c r="R88" s="155">
        <f>$R$5</f>
        <v>44104</v>
      </c>
      <c r="S88" s="155">
        <f>$S$5</f>
        <v>44135</v>
      </c>
      <c r="T88" s="155">
        <f>$T$5</f>
        <v>44165</v>
      </c>
      <c r="U88" s="155">
        <f>$U$5</f>
        <v>44196</v>
      </c>
      <c r="V88" s="78"/>
      <c r="W88" s="157" t="str">
        <f>$W$5</f>
        <v xml:space="preserve">Outstanding </v>
      </c>
      <c r="X88" s="2"/>
      <c r="Y88" s="2"/>
      <c r="Z88" s="2"/>
      <c r="AA88" s="173">
        <v>44197</v>
      </c>
      <c r="AB88" s="173">
        <v>44228</v>
      </c>
      <c r="AC88" s="173">
        <v>44256</v>
      </c>
      <c r="AE88" s="152" t="str">
        <f>$AE$5</f>
        <v>Benefice</v>
      </c>
    </row>
    <row r="89" spans="1:34" ht="16.5" x14ac:dyDescent="0.25">
      <c r="G89" s="146" t="s">
        <v>1040</v>
      </c>
      <c r="H89" s="147" t="s">
        <v>1040</v>
      </c>
      <c r="I89" s="148"/>
      <c r="J89" s="147" t="s">
        <v>1040</v>
      </c>
      <c r="K89" s="147" t="s">
        <v>1040</v>
      </c>
      <c r="L89" s="147" t="s">
        <v>1040</v>
      </c>
      <c r="M89" s="147" t="s">
        <v>1040</v>
      </c>
      <c r="N89" s="147" t="s">
        <v>1040</v>
      </c>
      <c r="O89" s="147" t="s">
        <v>1040</v>
      </c>
      <c r="P89" s="147" t="s">
        <v>1040</v>
      </c>
      <c r="Q89" s="147" t="s">
        <v>1040</v>
      </c>
      <c r="R89" s="147" t="s">
        <v>1040</v>
      </c>
      <c r="S89" s="147" t="s">
        <v>1040</v>
      </c>
      <c r="T89" s="147" t="s">
        <v>1040</v>
      </c>
      <c r="U89" s="147" t="s">
        <v>1040</v>
      </c>
      <c r="W89" s="3"/>
      <c r="AA89" s="174" t="s">
        <v>1040</v>
      </c>
      <c r="AB89" s="174" t="s">
        <v>1040</v>
      </c>
      <c r="AC89" s="174" t="s">
        <v>1040</v>
      </c>
    </row>
    <row r="90" spans="1:34" x14ac:dyDescent="0.2">
      <c r="W90" s="3"/>
    </row>
    <row r="91" spans="1:34" x14ac:dyDescent="0.2">
      <c r="A91" s="141" t="s">
        <v>78</v>
      </c>
      <c r="B91" s="9" t="s">
        <v>495</v>
      </c>
      <c r="C91" s="9" t="s">
        <v>495</v>
      </c>
      <c r="D91" s="9" t="s">
        <v>495</v>
      </c>
      <c r="E91" s="9"/>
      <c r="F91" s="9">
        <v>0</v>
      </c>
      <c r="G91" s="4">
        <v>19232</v>
      </c>
      <c r="H91" s="4">
        <f t="shared" ref="H91:H117" si="10">SUM(J91:U91)+SUM(AA91:AC91)</f>
        <v>15916</v>
      </c>
      <c r="I91" s="24">
        <f t="shared" ref="I91:I117" si="11">ROUND((H91/G91),4)</f>
        <v>0.8276</v>
      </c>
      <c r="J91" s="23">
        <v>700</v>
      </c>
      <c r="K91" s="23">
        <v>700</v>
      </c>
      <c r="L91" s="23">
        <v>700</v>
      </c>
      <c r="M91" s="23">
        <v>700</v>
      </c>
      <c r="N91" s="23">
        <v>700</v>
      </c>
      <c r="O91" s="23">
        <v>700</v>
      </c>
      <c r="P91" s="23">
        <v>700</v>
      </c>
      <c r="Q91" s="23">
        <v>3200</v>
      </c>
      <c r="R91" s="23">
        <v>700</v>
      </c>
      <c r="S91" s="23">
        <v>3063</v>
      </c>
      <c r="T91" s="23">
        <v>700</v>
      </c>
      <c r="U91" s="23">
        <v>3353</v>
      </c>
      <c r="V91" s="79" t="s">
        <v>557</v>
      </c>
      <c r="W91" s="23">
        <f t="shared" ref="W91:W117" si="12">G91-H91</f>
        <v>3316</v>
      </c>
      <c r="X91" s="79"/>
      <c r="Y91" s="4"/>
      <c r="Z91" s="4"/>
      <c r="AA91" s="82"/>
      <c r="AB91" s="82"/>
      <c r="AC91" s="82"/>
      <c r="AD91" s="23"/>
      <c r="AE91" s="7" t="s">
        <v>394</v>
      </c>
    </row>
    <row r="92" spans="1:34" x14ac:dyDescent="0.2">
      <c r="A92" s="141" t="s">
        <v>79</v>
      </c>
      <c r="B92" s="9" t="s">
        <v>495</v>
      </c>
      <c r="C92" s="9">
        <v>0</v>
      </c>
      <c r="D92" s="9" t="s">
        <v>495</v>
      </c>
      <c r="E92" s="9"/>
      <c r="F92" s="9">
        <v>0</v>
      </c>
      <c r="G92" s="4">
        <v>15253</v>
      </c>
      <c r="H92" s="4">
        <f t="shared" si="10"/>
        <v>13263</v>
      </c>
      <c r="I92" s="24">
        <f t="shared" si="11"/>
        <v>0.86950000000000005</v>
      </c>
      <c r="J92" s="23">
        <v>750</v>
      </c>
      <c r="K92" s="23">
        <v>750</v>
      </c>
      <c r="L92" s="23">
        <v>750</v>
      </c>
      <c r="M92" s="23">
        <v>750</v>
      </c>
      <c r="N92" s="23">
        <v>750</v>
      </c>
      <c r="O92" s="23">
        <v>750</v>
      </c>
      <c r="P92" s="23">
        <v>750</v>
      </c>
      <c r="Q92" s="23">
        <v>750</v>
      </c>
      <c r="R92" s="23">
        <v>750</v>
      </c>
      <c r="S92" s="23">
        <v>750</v>
      </c>
      <c r="T92" s="23">
        <v>750</v>
      </c>
      <c r="U92" s="23">
        <v>5013</v>
      </c>
      <c r="V92" s="79" t="s">
        <v>558</v>
      </c>
      <c r="W92" s="23">
        <f t="shared" si="12"/>
        <v>1990</v>
      </c>
      <c r="X92" s="79"/>
      <c r="Y92" s="79"/>
      <c r="Z92" s="79"/>
      <c r="AA92" s="82"/>
      <c r="AB92" s="82"/>
      <c r="AC92" s="82"/>
      <c r="AD92" s="23"/>
      <c r="AE92" s="7" t="s">
        <v>394</v>
      </c>
    </row>
    <row r="93" spans="1:34" x14ac:dyDescent="0.2">
      <c r="A93" s="141" t="s">
        <v>80</v>
      </c>
      <c r="B93" s="9" t="s">
        <v>495</v>
      </c>
      <c r="C93" s="9" t="s">
        <v>495</v>
      </c>
      <c r="D93" s="9" t="s">
        <v>495</v>
      </c>
      <c r="E93" s="9"/>
      <c r="F93" s="9" t="s">
        <v>495</v>
      </c>
      <c r="G93" s="4">
        <v>27226</v>
      </c>
      <c r="H93" s="4">
        <f t="shared" si="10"/>
        <v>10812.04</v>
      </c>
      <c r="I93" s="24">
        <f t="shared" si="11"/>
        <v>0.39710000000000001</v>
      </c>
      <c r="J93" s="23">
        <v>1888.72</v>
      </c>
      <c r="K93" s="23">
        <v>1888.72</v>
      </c>
      <c r="L93" s="23">
        <v>0</v>
      </c>
      <c r="M93" s="23">
        <v>2344.91</v>
      </c>
      <c r="N93" s="23">
        <v>1172.42</v>
      </c>
      <c r="O93" s="23">
        <v>1172.42</v>
      </c>
      <c r="P93" s="23"/>
      <c r="Q93" s="23"/>
      <c r="R93" s="23">
        <v>2344.85</v>
      </c>
      <c r="S93" s="23"/>
      <c r="T93" s="23"/>
      <c r="U93" s="23"/>
      <c r="V93" s="79" t="s">
        <v>559</v>
      </c>
      <c r="W93" s="23">
        <f t="shared" si="12"/>
        <v>16413.96</v>
      </c>
      <c r="X93" s="79"/>
      <c r="Y93" s="79"/>
      <c r="Z93" s="79"/>
      <c r="AA93" s="82"/>
      <c r="AB93" s="82"/>
      <c r="AC93" s="82"/>
      <c r="AD93" s="23"/>
      <c r="AE93" s="7" t="s">
        <v>396</v>
      </c>
    </row>
    <row r="94" spans="1:34" x14ac:dyDescent="0.2">
      <c r="A94" s="141" t="s">
        <v>81</v>
      </c>
      <c r="B94" s="9" t="s">
        <v>495</v>
      </c>
      <c r="C94" s="9" t="s">
        <v>495</v>
      </c>
      <c r="D94" s="9">
        <v>0</v>
      </c>
      <c r="E94" s="9"/>
      <c r="F94" s="9">
        <v>0</v>
      </c>
      <c r="G94" s="4">
        <v>27227</v>
      </c>
      <c r="H94" s="4">
        <f t="shared" si="10"/>
        <v>12000</v>
      </c>
      <c r="I94" s="24">
        <f t="shared" si="11"/>
        <v>0.44069999999999998</v>
      </c>
      <c r="J94" s="23">
        <v>2000</v>
      </c>
      <c r="K94" s="23"/>
      <c r="L94" s="23">
        <v>2000</v>
      </c>
      <c r="M94" s="23"/>
      <c r="N94" s="23">
        <v>2000</v>
      </c>
      <c r="O94" s="23"/>
      <c r="P94" s="23"/>
      <c r="Q94" s="23">
        <v>2000</v>
      </c>
      <c r="R94" s="23"/>
      <c r="S94" s="23">
        <v>2000</v>
      </c>
      <c r="T94" s="23"/>
      <c r="U94" s="23">
        <v>2000</v>
      </c>
      <c r="V94" s="79" t="s">
        <v>560</v>
      </c>
      <c r="W94" s="23">
        <f t="shared" si="12"/>
        <v>15227</v>
      </c>
      <c r="X94" s="79"/>
      <c r="Y94" s="79"/>
      <c r="Z94" s="79"/>
      <c r="AA94" s="82"/>
      <c r="AB94" s="82"/>
      <c r="AC94" s="82"/>
      <c r="AD94" s="23"/>
      <c r="AE94" s="7" t="s">
        <v>396</v>
      </c>
    </row>
    <row r="95" spans="1:34" x14ac:dyDescent="0.2">
      <c r="A95" s="141" t="s">
        <v>82</v>
      </c>
      <c r="B95" s="9" t="s">
        <v>495</v>
      </c>
      <c r="C95" s="9" t="s">
        <v>495</v>
      </c>
      <c r="D95" s="9">
        <v>0</v>
      </c>
      <c r="E95" s="9"/>
      <c r="F95" s="9">
        <v>0</v>
      </c>
      <c r="G95" s="4">
        <v>45545</v>
      </c>
      <c r="H95" s="4">
        <f t="shared" si="10"/>
        <v>45544.999999999993</v>
      </c>
      <c r="I95" s="24">
        <f t="shared" si="11"/>
        <v>1</v>
      </c>
      <c r="J95" s="23">
        <v>3409.36</v>
      </c>
      <c r="K95" s="23">
        <v>3409.36</v>
      </c>
      <c r="L95" s="23">
        <v>3409.36</v>
      </c>
      <c r="M95" s="23">
        <v>3924.12</v>
      </c>
      <c r="N95" s="23">
        <v>3924.1</v>
      </c>
      <c r="O95" s="23">
        <v>3924.1</v>
      </c>
      <c r="P95" s="23">
        <v>3924.1</v>
      </c>
      <c r="Q95" s="23">
        <v>3924.1</v>
      </c>
      <c r="R95" s="23">
        <v>3924.1</v>
      </c>
      <c r="S95" s="23">
        <v>3924.1</v>
      </c>
      <c r="T95" s="23">
        <v>3924.1</v>
      </c>
      <c r="U95" s="23">
        <v>3924.1</v>
      </c>
      <c r="V95" s="79" t="s">
        <v>561</v>
      </c>
      <c r="W95" s="23">
        <f t="shared" si="12"/>
        <v>0</v>
      </c>
      <c r="X95" s="79"/>
      <c r="Y95" s="79"/>
      <c r="Z95" s="79"/>
      <c r="AA95" s="82"/>
      <c r="AB95" s="82"/>
      <c r="AC95" s="82"/>
      <c r="AD95" s="23"/>
      <c r="AE95" s="7" t="s">
        <v>396</v>
      </c>
    </row>
    <row r="96" spans="1:34" x14ac:dyDescent="0.2">
      <c r="A96" s="141" t="s">
        <v>83</v>
      </c>
      <c r="B96" s="9" t="s">
        <v>495</v>
      </c>
      <c r="C96" s="9">
        <v>0</v>
      </c>
      <c r="D96" s="9">
        <v>0</v>
      </c>
      <c r="E96" s="9"/>
      <c r="F96" s="9">
        <v>0</v>
      </c>
      <c r="G96" s="4">
        <v>33622</v>
      </c>
      <c r="H96" s="4">
        <f t="shared" si="10"/>
        <v>23500</v>
      </c>
      <c r="I96" s="24">
        <f t="shared" si="11"/>
        <v>0.69889999999999997</v>
      </c>
      <c r="J96" s="23">
        <v>1000</v>
      </c>
      <c r="K96" s="23">
        <v>1000</v>
      </c>
      <c r="L96" s="23">
        <v>1000</v>
      </c>
      <c r="M96" s="23">
        <v>1000</v>
      </c>
      <c r="N96" s="23">
        <v>1000</v>
      </c>
      <c r="O96" s="23">
        <v>1000</v>
      </c>
      <c r="P96" s="23">
        <v>1000</v>
      </c>
      <c r="Q96" s="23">
        <v>1000</v>
      </c>
      <c r="R96" s="23">
        <v>1000</v>
      </c>
      <c r="S96" s="23">
        <v>1000</v>
      </c>
      <c r="T96" s="23">
        <v>1000</v>
      </c>
      <c r="U96" s="23">
        <v>12500</v>
      </c>
      <c r="V96" s="79" t="s">
        <v>562</v>
      </c>
      <c r="W96" s="23">
        <f t="shared" si="12"/>
        <v>10122</v>
      </c>
      <c r="X96" s="79"/>
      <c r="Y96" s="79"/>
      <c r="Z96" s="79"/>
      <c r="AA96" s="82"/>
      <c r="AB96" s="82"/>
      <c r="AC96" s="82"/>
      <c r="AD96" s="23"/>
      <c r="AE96" s="7" t="s">
        <v>395</v>
      </c>
    </row>
    <row r="97" spans="1:31" x14ac:dyDescent="0.2">
      <c r="A97" s="141" t="s">
        <v>84</v>
      </c>
      <c r="B97" s="9">
        <v>0</v>
      </c>
      <c r="C97" s="9">
        <v>0</v>
      </c>
      <c r="D97" s="9">
        <v>0</v>
      </c>
      <c r="E97" s="9"/>
      <c r="F97" s="9" t="s">
        <v>495</v>
      </c>
      <c r="G97" s="4">
        <v>0</v>
      </c>
      <c r="H97" s="4">
        <f t="shared" si="10"/>
        <v>0</v>
      </c>
      <c r="I97" s="24" t="e">
        <f t="shared" si="11"/>
        <v>#DIV/0!</v>
      </c>
      <c r="J97" s="23">
        <v>0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79" t="s">
        <v>563</v>
      </c>
      <c r="W97" s="23">
        <f t="shared" si="12"/>
        <v>0</v>
      </c>
      <c r="X97" s="79"/>
      <c r="Y97" s="79"/>
      <c r="Z97" s="79"/>
      <c r="AA97" s="82"/>
      <c r="AB97" s="82"/>
      <c r="AC97" s="82"/>
      <c r="AD97" s="23"/>
      <c r="AE97" s="7" t="s">
        <v>395</v>
      </c>
    </row>
    <row r="98" spans="1:31" x14ac:dyDescent="0.2">
      <c r="A98" s="141" t="s">
        <v>85</v>
      </c>
      <c r="B98" s="9" t="s">
        <v>495</v>
      </c>
      <c r="C98" s="9" t="s">
        <v>495</v>
      </c>
      <c r="D98" s="9">
        <v>0</v>
      </c>
      <c r="E98" s="9"/>
      <c r="F98" s="9" t="s">
        <v>495</v>
      </c>
      <c r="G98" s="4">
        <v>9284</v>
      </c>
      <c r="H98" s="4">
        <f t="shared" si="10"/>
        <v>6963</v>
      </c>
      <c r="I98" s="24">
        <f t="shared" si="11"/>
        <v>0.75</v>
      </c>
      <c r="J98" s="23">
        <v>0</v>
      </c>
      <c r="K98" s="23"/>
      <c r="L98" s="23"/>
      <c r="M98" s="23"/>
      <c r="N98" s="23"/>
      <c r="O98" s="23">
        <v>2321</v>
      </c>
      <c r="P98" s="23"/>
      <c r="Q98" s="23">
        <v>2321</v>
      </c>
      <c r="R98" s="23"/>
      <c r="S98" s="23"/>
      <c r="T98" s="23">
        <v>2321</v>
      </c>
      <c r="U98" s="23"/>
      <c r="V98" s="79" t="s">
        <v>564</v>
      </c>
      <c r="W98" s="23">
        <f t="shared" si="12"/>
        <v>2321</v>
      </c>
      <c r="X98" s="79"/>
      <c r="Y98" s="79"/>
      <c r="Z98" s="79"/>
      <c r="AA98" s="82"/>
      <c r="AB98" s="82"/>
      <c r="AC98" s="82"/>
      <c r="AD98" s="23"/>
      <c r="AE98" s="7" t="s">
        <v>394</v>
      </c>
    </row>
    <row r="99" spans="1:31" x14ac:dyDescent="0.2">
      <c r="A99" s="141" t="s">
        <v>86</v>
      </c>
      <c r="B99" s="9" t="s">
        <v>495</v>
      </c>
      <c r="C99" s="9" t="s">
        <v>495</v>
      </c>
      <c r="D99" s="9" t="s">
        <v>495</v>
      </c>
      <c r="E99" s="9"/>
      <c r="F99" s="9">
        <v>0</v>
      </c>
      <c r="G99" s="4">
        <v>10610</v>
      </c>
      <c r="H99" s="4">
        <f t="shared" si="10"/>
        <v>5890.82</v>
      </c>
      <c r="I99" s="24">
        <f t="shared" si="11"/>
        <v>0.55520000000000003</v>
      </c>
      <c r="J99" s="23">
        <v>858.12</v>
      </c>
      <c r="K99" s="23">
        <v>886.58</v>
      </c>
      <c r="L99" s="23">
        <v>886.53</v>
      </c>
      <c r="M99" s="23">
        <v>886.53</v>
      </c>
      <c r="N99" s="23">
        <v>886.53</v>
      </c>
      <c r="O99" s="23">
        <v>886.53</v>
      </c>
      <c r="P99" s="23">
        <v>100</v>
      </c>
      <c r="Q99" s="23">
        <v>100</v>
      </c>
      <c r="R99" s="23">
        <v>100</v>
      </c>
      <c r="S99" s="23">
        <v>100</v>
      </c>
      <c r="T99" s="23">
        <v>100</v>
      </c>
      <c r="U99" s="23">
        <v>100</v>
      </c>
      <c r="V99" s="79" t="s">
        <v>565</v>
      </c>
      <c r="W99" s="23">
        <f t="shared" si="12"/>
        <v>4719.18</v>
      </c>
      <c r="X99" s="79"/>
      <c r="Y99" s="79"/>
      <c r="Z99" s="79"/>
      <c r="AA99" s="82"/>
      <c r="AB99" s="82"/>
      <c r="AC99" s="82"/>
      <c r="AD99" s="23"/>
      <c r="AE99" s="7" t="s">
        <v>394</v>
      </c>
    </row>
    <row r="100" spans="1:31" x14ac:dyDescent="0.2">
      <c r="A100" s="141" t="s">
        <v>87</v>
      </c>
      <c r="B100" s="9">
        <v>0</v>
      </c>
      <c r="C100" s="9">
        <v>0</v>
      </c>
      <c r="D100" s="9">
        <v>0</v>
      </c>
      <c r="E100" s="9"/>
      <c r="F100" s="9">
        <v>0</v>
      </c>
      <c r="G100" s="4">
        <v>11937</v>
      </c>
      <c r="H100" s="4">
        <f t="shared" si="10"/>
        <v>11937</v>
      </c>
      <c r="I100" s="24">
        <f t="shared" si="11"/>
        <v>1</v>
      </c>
      <c r="J100" s="23">
        <v>963.96</v>
      </c>
      <c r="K100" s="23">
        <v>997.64</v>
      </c>
      <c r="L100" s="23">
        <v>997.54</v>
      </c>
      <c r="M100" s="23">
        <v>997.54</v>
      </c>
      <c r="N100" s="23">
        <v>997.54</v>
      </c>
      <c r="O100" s="23">
        <v>997.54</v>
      </c>
      <c r="P100" s="23">
        <v>997.54</v>
      </c>
      <c r="Q100" s="23">
        <v>997.54</v>
      </c>
      <c r="R100" s="23">
        <v>997.54</v>
      </c>
      <c r="S100" s="23">
        <v>997.54</v>
      </c>
      <c r="T100" s="23">
        <v>997.54</v>
      </c>
      <c r="U100" s="23">
        <v>997.54</v>
      </c>
      <c r="V100" s="79" t="s">
        <v>566</v>
      </c>
      <c r="W100" s="23">
        <f t="shared" si="12"/>
        <v>0</v>
      </c>
      <c r="X100" s="79"/>
      <c r="Y100" s="79"/>
      <c r="Z100" s="79"/>
      <c r="AA100" s="82"/>
      <c r="AB100" s="82"/>
      <c r="AC100" s="82"/>
      <c r="AD100" s="23"/>
      <c r="AE100" s="7" t="s">
        <v>394</v>
      </c>
    </row>
    <row r="101" spans="1:31" x14ac:dyDescent="0.2">
      <c r="A101" s="141" t="s">
        <v>88</v>
      </c>
      <c r="B101" s="9" t="s">
        <v>495</v>
      </c>
      <c r="C101" s="9" t="s">
        <v>495</v>
      </c>
      <c r="D101" s="9">
        <v>0</v>
      </c>
      <c r="E101" s="9"/>
      <c r="F101" s="9">
        <v>0</v>
      </c>
      <c r="G101" s="4">
        <v>51935</v>
      </c>
      <c r="H101" s="4">
        <f t="shared" si="10"/>
        <v>51935</v>
      </c>
      <c r="I101" s="24">
        <f t="shared" si="11"/>
        <v>1</v>
      </c>
      <c r="J101" s="23">
        <v>4750</v>
      </c>
      <c r="K101" s="23">
        <v>4750</v>
      </c>
      <c r="L101" s="23">
        <v>4750</v>
      </c>
      <c r="M101" s="23">
        <v>4750</v>
      </c>
      <c r="N101" s="23">
        <v>4750</v>
      </c>
      <c r="O101" s="23">
        <v>4750</v>
      </c>
      <c r="P101" s="23">
        <v>4750</v>
      </c>
      <c r="Q101" s="23">
        <v>4750</v>
      </c>
      <c r="R101" s="23">
        <v>4750</v>
      </c>
      <c r="S101" s="23">
        <v>4750</v>
      </c>
      <c r="T101" s="23">
        <v>4435</v>
      </c>
      <c r="U101" s="23"/>
      <c r="V101" s="79" t="s">
        <v>567</v>
      </c>
      <c r="W101" s="23">
        <f t="shared" si="12"/>
        <v>0</v>
      </c>
      <c r="X101" s="79"/>
      <c r="Y101" s="79"/>
      <c r="Z101" s="79"/>
      <c r="AA101" s="82"/>
      <c r="AB101" s="82"/>
      <c r="AC101" s="82"/>
      <c r="AD101" s="23"/>
      <c r="AE101" s="7" t="s">
        <v>396</v>
      </c>
    </row>
    <row r="102" spans="1:31" x14ac:dyDescent="0.2">
      <c r="A102" s="141" t="s">
        <v>89</v>
      </c>
      <c r="B102" s="9">
        <v>0</v>
      </c>
      <c r="C102" s="9">
        <v>0</v>
      </c>
      <c r="D102" s="9">
        <v>0</v>
      </c>
      <c r="E102" s="9"/>
      <c r="F102" s="9" t="s">
        <v>495</v>
      </c>
      <c r="G102" s="4">
        <v>0</v>
      </c>
      <c r="H102" s="4">
        <f t="shared" si="10"/>
        <v>0</v>
      </c>
      <c r="I102" s="24" t="e">
        <f t="shared" si="11"/>
        <v>#DIV/0!</v>
      </c>
      <c r="J102" s="23">
        <v>0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79" t="s">
        <v>568</v>
      </c>
      <c r="W102" s="23">
        <f t="shared" si="12"/>
        <v>0</v>
      </c>
      <c r="X102" s="79"/>
      <c r="Y102" s="79"/>
      <c r="Z102" s="79"/>
      <c r="AA102" s="82"/>
      <c r="AB102" s="82"/>
      <c r="AC102" s="82"/>
      <c r="AD102" s="23"/>
      <c r="AE102" s="7" t="s">
        <v>396</v>
      </c>
    </row>
    <row r="103" spans="1:31" x14ac:dyDescent="0.2">
      <c r="A103" s="141" t="s">
        <v>90</v>
      </c>
      <c r="B103" s="9" t="s">
        <v>495</v>
      </c>
      <c r="C103" s="9">
        <v>0</v>
      </c>
      <c r="D103" s="9">
        <v>0</v>
      </c>
      <c r="E103" s="9"/>
      <c r="F103" s="9" t="s">
        <v>495</v>
      </c>
      <c r="G103" s="4">
        <v>22788</v>
      </c>
      <c r="H103" s="4">
        <f t="shared" si="10"/>
        <v>22788</v>
      </c>
      <c r="I103" s="24">
        <f t="shared" si="11"/>
        <v>1</v>
      </c>
      <c r="J103" s="23">
        <v>0</v>
      </c>
      <c r="K103" s="23"/>
      <c r="L103" s="23">
        <v>0</v>
      </c>
      <c r="M103" s="23"/>
      <c r="N103" s="23">
        <v>7596</v>
      </c>
      <c r="O103" s="23">
        <v>3798</v>
      </c>
      <c r="P103" s="23"/>
      <c r="Q103" s="23"/>
      <c r="R103" s="23">
        <v>5697</v>
      </c>
      <c r="S103" s="23"/>
      <c r="T103" s="23">
        <v>5697</v>
      </c>
      <c r="U103" s="23"/>
      <c r="V103" s="79" t="s">
        <v>569</v>
      </c>
      <c r="W103" s="23">
        <f t="shared" si="12"/>
        <v>0</v>
      </c>
      <c r="X103" s="79"/>
      <c r="Y103" s="79"/>
      <c r="Z103" s="79"/>
      <c r="AA103" s="82"/>
      <c r="AB103" s="82"/>
      <c r="AC103" s="82"/>
      <c r="AD103" s="23"/>
      <c r="AE103" s="7" t="s">
        <v>397</v>
      </c>
    </row>
    <row r="104" spans="1:31" x14ac:dyDescent="0.2">
      <c r="A104" s="141" t="s">
        <v>91</v>
      </c>
      <c r="B104" s="9" t="s">
        <v>495</v>
      </c>
      <c r="C104" s="9" t="s">
        <v>495</v>
      </c>
      <c r="D104" s="9" t="s">
        <v>495</v>
      </c>
      <c r="E104" s="9"/>
      <c r="F104" s="9">
        <v>0</v>
      </c>
      <c r="G104" s="4">
        <v>6808</v>
      </c>
      <c r="H104" s="4">
        <f t="shared" si="10"/>
        <v>6808.0000000000009</v>
      </c>
      <c r="I104" s="24">
        <f t="shared" si="11"/>
        <v>1</v>
      </c>
      <c r="J104" s="23">
        <v>680.8</v>
      </c>
      <c r="K104" s="23">
        <v>680.8</v>
      </c>
      <c r="L104" s="23">
        <v>680.8</v>
      </c>
      <c r="M104" s="23">
        <v>680.8</v>
      </c>
      <c r="N104" s="23">
        <v>680.8</v>
      </c>
      <c r="O104" s="23">
        <v>680.8</v>
      </c>
      <c r="P104" s="23">
        <v>680.8</v>
      </c>
      <c r="Q104" s="23">
        <v>680.8</v>
      </c>
      <c r="R104" s="23">
        <v>680.8</v>
      </c>
      <c r="S104" s="23">
        <v>680.8</v>
      </c>
      <c r="T104" s="23"/>
      <c r="U104" s="23"/>
      <c r="V104" s="79" t="s">
        <v>570</v>
      </c>
      <c r="W104" s="23">
        <f t="shared" si="12"/>
        <v>0</v>
      </c>
      <c r="X104" s="79"/>
      <c r="Y104" s="79"/>
      <c r="Z104" s="79"/>
      <c r="AA104" s="82"/>
      <c r="AB104" s="82"/>
      <c r="AC104" s="82"/>
      <c r="AD104" s="23"/>
      <c r="AE104" s="7" t="s">
        <v>398</v>
      </c>
    </row>
    <row r="105" spans="1:31" x14ac:dyDescent="0.2">
      <c r="A105" s="141" t="s">
        <v>92</v>
      </c>
      <c r="B105" s="9">
        <v>0</v>
      </c>
      <c r="C105" s="9">
        <v>0</v>
      </c>
      <c r="D105" s="9">
        <v>0</v>
      </c>
      <c r="E105" s="9"/>
      <c r="F105" s="9" t="s">
        <v>495</v>
      </c>
      <c r="G105" s="4">
        <v>3387</v>
      </c>
      <c r="H105" s="4">
        <f t="shared" si="10"/>
        <v>3387</v>
      </c>
      <c r="I105" s="24">
        <f t="shared" si="11"/>
        <v>1</v>
      </c>
      <c r="J105" s="23">
        <v>282.25</v>
      </c>
      <c r="K105" s="23">
        <v>282.25</v>
      </c>
      <c r="L105" s="23">
        <v>282.25</v>
      </c>
      <c r="M105" s="23">
        <v>282.25</v>
      </c>
      <c r="N105" s="23">
        <v>282.25</v>
      </c>
      <c r="O105" s="23">
        <v>282.25</v>
      </c>
      <c r="P105" s="23">
        <v>282.25</v>
      </c>
      <c r="Q105" s="23">
        <v>282.25</v>
      </c>
      <c r="R105" s="23">
        <v>282.25</v>
      </c>
      <c r="S105" s="23">
        <v>282.25</v>
      </c>
      <c r="T105" s="23">
        <v>282.25</v>
      </c>
      <c r="U105" s="23">
        <v>282.25</v>
      </c>
      <c r="V105" s="79" t="s">
        <v>571</v>
      </c>
      <c r="W105" s="23">
        <f t="shared" si="12"/>
        <v>0</v>
      </c>
      <c r="X105" s="79"/>
      <c r="Y105" s="79"/>
      <c r="Z105" s="79"/>
      <c r="AA105" s="82"/>
      <c r="AB105" s="82"/>
      <c r="AC105" s="82"/>
      <c r="AD105" s="23"/>
      <c r="AE105" s="7" t="s">
        <v>397</v>
      </c>
    </row>
    <row r="106" spans="1:31" x14ac:dyDescent="0.2">
      <c r="A106" s="141" t="s">
        <v>93</v>
      </c>
      <c r="B106" s="9" t="s">
        <v>495</v>
      </c>
      <c r="C106" s="9" t="s">
        <v>495</v>
      </c>
      <c r="D106" s="9" t="s">
        <v>495</v>
      </c>
      <c r="E106" s="9"/>
      <c r="F106" s="9">
        <v>0</v>
      </c>
      <c r="G106" s="4">
        <v>19581</v>
      </c>
      <c r="H106" s="4">
        <f t="shared" si="10"/>
        <v>19581</v>
      </c>
      <c r="I106" s="24">
        <f t="shared" si="11"/>
        <v>1</v>
      </c>
      <c r="J106" s="23">
        <v>1700</v>
      </c>
      <c r="K106" s="23"/>
      <c r="L106" s="23">
        <v>1700</v>
      </c>
      <c r="M106" s="23"/>
      <c r="N106" s="23"/>
      <c r="O106" s="23">
        <v>6800</v>
      </c>
      <c r="P106" s="23"/>
      <c r="Q106" s="23">
        <v>1600</v>
      </c>
      <c r="R106" s="23"/>
      <c r="S106" s="23">
        <v>3100</v>
      </c>
      <c r="T106" s="23">
        <v>4681</v>
      </c>
      <c r="U106" s="23"/>
      <c r="V106" s="79" t="s">
        <v>572</v>
      </c>
      <c r="W106" s="23">
        <f t="shared" si="12"/>
        <v>0</v>
      </c>
      <c r="X106" s="79"/>
      <c r="Y106" s="79"/>
      <c r="Z106" s="79"/>
      <c r="AA106" s="82"/>
      <c r="AB106" s="82"/>
      <c r="AC106" s="82"/>
      <c r="AD106" s="23"/>
      <c r="AE106" s="7" t="s">
        <v>395</v>
      </c>
    </row>
    <row r="107" spans="1:31" x14ac:dyDescent="0.2">
      <c r="A107" s="141" t="s">
        <v>94</v>
      </c>
      <c r="B107" s="9" t="s">
        <v>495</v>
      </c>
      <c r="C107" s="9" t="s">
        <v>495</v>
      </c>
      <c r="D107" s="9" t="s">
        <v>495</v>
      </c>
      <c r="E107" s="9"/>
      <c r="F107" s="9">
        <v>0</v>
      </c>
      <c r="G107" s="4">
        <v>22788</v>
      </c>
      <c r="H107" s="4">
        <f t="shared" si="10"/>
        <v>22788</v>
      </c>
      <c r="I107" s="24">
        <f t="shared" si="11"/>
        <v>1</v>
      </c>
      <c r="J107" s="23">
        <v>1899</v>
      </c>
      <c r="K107" s="23">
        <v>1899</v>
      </c>
      <c r="L107" s="23">
        <v>1899</v>
      </c>
      <c r="M107" s="23">
        <v>1899</v>
      </c>
      <c r="N107" s="23">
        <v>1899</v>
      </c>
      <c r="O107" s="23">
        <v>450</v>
      </c>
      <c r="P107" s="23">
        <v>450</v>
      </c>
      <c r="Q107" s="23">
        <v>1899</v>
      </c>
      <c r="R107" s="23">
        <v>1899</v>
      </c>
      <c r="S107" s="23">
        <v>1899</v>
      </c>
      <c r="T107" s="23">
        <v>1899</v>
      </c>
      <c r="U107" s="23">
        <v>4797</v>
      </c>
      <c r="V107" s="79" t="s">
        <v>573</v>
      </c>
      <c r="W107" s="23">
        <f t="shared" si="12"/>
        <v>0</v>
      </c>
      <c r="X107" s="79"/>
      <c r="Y107" s="79"/>
      <c r="Z107" s="79"/>
      <c r="AA107" s="82"/>
      <c r="AB107" s="82"/>
      <c r="AC107" s="82"/>
      <c r="AD107" s="23"/>
      <c r="AE107" s="7" t="s">
        <v>397</v>
      </c>
    </row>
    <row r="108" spans="1:31" x14ac:dyDescent="0.2">
      <c r="A108" s="141" t="s">
        <v>95</v>
      </c>
      <c r="B108" s="9" t="s">
        <v>495</v>
      </c>
      <c r="C108" s="9" t="s">
        <v>495</v>
      </c>
      <c r="D108" s="9">
        <v>0</v>
      </c>
      <c r="E108" s="9"/>
      <c r="F108" s="9">
        <v>0</v>
      </c>
      <c r="G108" s="4">
        <v>12626</v>
      </c>
      <c r="H108" s="4">
        <f t="shared" si="10"/>
        <v>4250</v>
      </c>
      <c r="I108" s="24">
        <f t="shared" si="11"/>
        <v>0.33660000000000001</v>
      </c>
      <c r="J108" s="23">
        <v>0</v>
      </c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>
        <v>4250</v>
      </c>
      <c r="V108" s="79" t="s">
        <v>574</v>
      </c>
      <c r="W108" s="23">
        <f t="shared" si="12"/>
        <v>8376</v>
      </c>
      <c r="X108" s="79"/>
      <c r="Y108" s="79"/>
      <c r="Z108" s="79"/>
      <c r="AA108" s="82"/>
      <c r="AB108" s="82"/>
      <c r="AC108" s="82"/>
      <c r="AD108" s="23"/>
      <c r="AE108" s="7" t="s">
        <v>397</v>
      </c>
    </row>
    <row r="109" spans="1:31" x14ac:dyDescent="0.2">
      <c r="A109" s="141" t="s">
        <v>96</v>
      </c>
      <c r="B109" s="9" t="s">
        <v>495</v>
      </c>
      <c r="C109" s="9" t="s">
        <v>495</v>
      </c>
      <c r="D109" s="9" t="s">
        <v>495</v>
      </c>
      <c r="E109" s="9"/>
      <c r="F109" s="9" t="s">
        <v>495</v>
      </c>
      <c r="G109" s="4">
        <v>12562</v>
      </c>
      <c r="H109" s="4">
        <f t="shared" si="10"/>
        <v>6281</v>
      </c>
      <c r="I109" s="24">
        <f t="shared" si="11"/>
        <v>0.5</v>
      </c>
      <c r="J109" s="23">
        <v>0</v>
      </c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>
        <v>6281</v>
      </c>
      <c r="V109" s="79" t="s">
        <v>575</v>
      </c>
      <c r="W109" s="23">
        <f t="shared" si="12"/>
        <v>6281</v>
      </c>
      <c r="X109" s="79"/>
      <c r="Y109" s="79"/>
      <c r="Z109" s="79"/>
      <c r="AA109" s="82"/>
      <c r="AB109" s="82"/>
      <c r="AC109" s="82"/>
      <c r="AD109" s="23"/>
      <c r="AE109" s="7" t="s">
        <v>395</v>
      </c>
    </row>
    <row r="110" spans="1:31" x14ac:dyDescent="0.2">
      <c r="A110" s="141" t="s">
        <v>97</v>
      </c>
      <c r="B110" s="9">
        <v>0</v>
      </c>
      <c r="C110" s="9" t="s">
        <v>495</v>
      </c>
      <c r="D110" s="9">
        <v>0</v>
      </c>
      <c r="E110" s="9"/>
      <c r="F110" s="9">
        <v>0</v>
      </c>
      <c r="G110" s="4">
        <v>8128</v>
      </c>
      <c r="H110" s="4">
        <f t="shared" si="10"/>
        <v>8012</v>
      </c>
      <c r="I110" s="24">
        <f t="shared" si="11"/>
        <v>0.98570000000000002</v>
      </c>
      <c r="J110" s="23">
        <v>300</v>
      </c>
      <c r="K110" s="23">
        <v>300</v>
      </c>
      <c r="L110" s="23">
        <v>300</v>
      </c>
      <c r="M110" s="23">
        <v>300</v>
      </c>
      <c r="N110" s="23">
        <v>300</v>
      </c>
      <c r="O110" s="23">
        <v>300</v>
      </c>
      <c r="P110" s="23">
        <v>300</v>
      </c>
      <c r="Q110" s="23">
        <v>1300</v>
      </c>
      <c r="R110" s="23">
        <v>612</v>
      </c>
      <c r="S110" s="23">
        <v>2300</v>
      </c>
      <c r="T110" s="23">
        <v>300</v>
      </c>
      <c r="U110" s="23">
        <v>1400</v>
      </c>
      <c r="V110" s="79" t="s">
        <v>576</v>
      </c>
      <c r="W110" s="23">
        <f t="shared" si="12"/>
        <v>116</v>
      </c>
      <c r="X110" s="79"/>
      <c r="Y110" s="79"/>
      <c r="Z110" s="79"/>
      <c r="AA110" s="82"/>
      <c r="AB110" s="82"/>
      <c r="AC110" s="82"/>
      <c r="AD110" s="23"/>
      <c r="AE110" s="7" t="s">
        <v>395</v>
      </c>
    </row>
    <row r="111" spans="1:31" x14ac:dyDescent="0.2">
      <c r="A111" s="141" t="s">
        <v>98</v>
      </c>
      <c r="B111" s="9" t="s">
        <v>495</v>
      </c>
      <c r="C111" s="9" t="s">
        <v>495</v>
      </c>
      <c r="D111" s="9" t="s">
        <v>495</v>
      </c>
      <c r="E111" s="9"/>
      <c r="F111" s="9" t="s">
        <v>495</v>
      </c>
      <c r="G111" s="4">
        <v>11160</v>
      </c>
      <c r="H111" s="4">
        <f t="shared" si="10"/>
        <v>11160.000000000004</v>
      </c>
      <c r="I111" s="24">
        <f t="shared" si="11"/>
        <v>1</v>
      </c>
      <c r="J111" s="23">
        <v>936.09</v>
      </c>
      <c r="K111" s="23">
        <v>929.51</v>
      </c>
      <c r="L111" s="23">
        <v>929.44</v>
      </c>
      <c r="M111" s="23">
        <v>929.44</v>
      </c>
      <c r="N111" s="23">
        <v>929.44</v>
      </c>
      <c r="O111" s="23">
        <v>929.44</v>
      </c>
      <c r="P111" s="23">
        <v>929.44</v>
      </c>
      <c r="Q111" s="23">
        <v>929.44</v>
      </c>
      <c r="R111" s="23">
        <v>929.44</v>
      </c>
      <c r="S111" s="23">
        <v>929.44</v>
      </c>
      <c r="T111" s="23">
        <v>929.44</v>
      </c>
      <c r="U111" s="23">
        <v>929.44</v>
      </c>
      <c r="V111" s="79" t="s">
        <v>577</v>
      </c>
      <c r="W111" s="23">
        <f t="shared" si="12"/>
        <v>0</v>
      </c>
      <c r="X111" s="79"/>
      <c r="Y111" s="79"/>
      <c r="Z111" s="79"/>
      <c r="AA111" s="82"/>
      <c r="AB111" s="82"/>
      <c r="AC111" s="82"/>
      <c r="AD111" s="23"/>
      <c r="AE111" s="7" t="s">
        <v>396</v>
      </c>
    </row>
    <row r="112" spans="1:31" x14ac:dyDescent="0.2">
      <c r="A112" s="141" t="s">
        <v>99</v>
      </c>
      <c r="B112" s="9" t="s">
        <v>495</v>
      </c>
      <c r="C112" s="9" t="s">
        <v>495</v>
      </c>
      <c r="D112" s="9" t="s">
        <v>495</v>
      </c>
      <c r="E112" s="9"/>
      <c r="F112" s="9" t="s">
        <v>495</v>
      </c>
      <c r="G112" s="4">
        <v>8024</v>
      </c>
      <c r="H112" s="4">
        <f t="shared" si="10"/>
        <v>2000</v>
      </c>
      <c r="I112" s="24">
        <f t="shared" si="11"/>
        <v>0.24929999999999999</v>
      </c>
      <c r="J112" s="23">
        <v>500</v>
      </c>
      <c r="K112" s="23">
        <v>500</v>
      </c>
      <c r="L112" s="23">
        <v>500</v>
      </c>
      <c r="M112" s="23">
        <v>500</v>
      </c>
      <c r="N112" s="23"/>
      <c r="O112" s="23"/>
      <c r="P112" s="23"/>
      <c r="Q112" s="23"/>
      <c r="R112" s="23"/>
      <c r="S112" s="23"/>
      <c r="T112" s="23"/>
      <c r="U112" s="23"/>
      <c r="V112" s="79" t="s">
        <v>578</v>
      </c>
      <c r="W112" s="23">
        <f t="shared" si="12"/>
        <v>6024</v>
      </c>
      <c r="X112" s="79"/>
      <c r="Y112" s="79"/>
      <c r="Z112" s="79"/>
      <c r="AA112" s="82"/>
      <c r="AB112" s="82"/>
      <c r="AC112" s="82"/>
      <c r="AD112" s="23"/>
      <c r="AE112" s="7" t="s">
        <v>396</v>
      </c>
    </row>
    <row r="113" spans="1:34" x14ac:dyDescent="0.2">
      <c r="A113" s="141" t="s">
        <v>100</v>
      </c>
      <c r="B113" s="9" t="s">
        <v>495</v>
      </c>
      <c r="C113" s="9" t="s">
        <v>495</v>
      </c>
      <c r="D113" s="9">
        <v>0</v>
      </c>
      <c r="E113" s="9"/>
      <c r="F113" s="9" t="s">
        <v>495</v>
      </c>
      <c r="G113" s="4">
        <v>4054</v>
      </c>
      <c r="H113" s="4">
        <f t="shared" si="10"/>
        <v>4053.9999999999991</v>
      </c>
      <c r="I113" s="24">
        <f t="shared" si="11"/>
        <v>1</v>
      </c>
      <c r="J113" s="23">
        <v>340.09</v>
      </c>
      <c r="K113" s="23">
        <v>337.71</v>
      </c>
      <c r="L113" s="23">
        <v>337.62</v>
      </c>
      <c r="M113" s="23">
        <v>337.62</v>
      </c>
      <c r="N113" s="23">
        <v>337.62</v>
      </c>
      <c r="O113" s="23">
        <v>337.62</v>
      </c>
      <c r="P113" s="23">
        <v>337.62</v>
      </c>
      <c r="Q113" s="23">
        <v>337.62</v>
      </c>
      <c r="R113" s="23">
        <v>337.62</v>
      </c>
      <c r="S113" s="23">
        <v>337.62</v>
      </c>
      <c r="T113" s="23">
        <v>337.62</v>
      </c>
      <c r="U113" s="23">
        <v>337.62</v>
      </c>
      <c r="V113" s="79" t="s">
        <v>579</v>
      </c>
      <c r="W113" s="23">
        <f t="shared" si="12"/>
        <v>0</v>
      </c>
      <c r="X113" s="79"/>
      <c r="Y113" s="79"/>
      <c r="Z113" s="79"/>
      <c r="AA113" s="82"/>
      <c r="AB113" s="82"/>
      <c r="AC113" s="82"/>
      <c r="AD113" s="23"/>
      <c r="AE113" s="7" t="s">
        <v>396</v>
      </c>
    </row>
    <row r="114" spans="1:34" x14ac:dyDescent="0.2">
      <c r="A114" s="141" t="s">
        <v>101</v>
      </c>
      <c r="B114" s="9" t="s">
        <v>495</v>
      </c>
      <c r="C114" s="9">
        <v>0</v>
      </c>
      <c r="D114" s="9">
        <v>0</v>
      </c>
      <c r="E114" s="9"/>
      <c r="F114" s="9">
        <v>0</v>
      </c>
      <c r="G114" s="4">
        <v>13616</v>
      </c>
      <c r="H114" s="4">
        <f t="shared" si="10"/>
        <v>13612.02</v>
      </c>
      <c r="I114" s="24">
        <f t="shared" si="11"/>
        <v>0.99970000000000003</v>
      </c>
      <c r="J114" s="23">
        <v>1134.74</v>
      </c>
      <c r="K114" s="23">
        <v>1134.6600000000001</v>
      </c>
      <c r="L114" s="23">
        <v>1134.6600000000001</v>
      </c>
      <c r="M114" s="23">
        <v>1134.6600000000001</v>
      </c>
      <c r="N114" s="23">
        <v>1134.6600000000001</v>
      </c>
      <c r="O114" s="23">
        <v>1134.6600000000001</v>
      </c>
      <c r="P114" s="23">
        <v>1134.6600000000001</v>
      </c>
      <c r="Q114" s="23">
        <v>1134.6600000000001</v>
      </c>
      <c r="R114" s="23">
        <v>1134.6600000000001</v>
      </c>
      <c r="S114" s="23"/>
      <c r="T114" s="23">
        <v>1700</v>
      </c>
      <c r="U114" s="23">
        <v>1700</v>
      </c>
      <c r="V114" s="79" t="s">
        <v>580</v>
      </c>
      <c r="W114" s="23">
        <f t="shared" si="12"/>
        <v>3.9799999999995634</v>
      </c>
      <c r="X114" s="79"/>
      <c r="Y114" s="79"/>
      <c r="Z114" s="79"/>
      <c r="AA114" s="23"/>
      <c r="AB114" s="23"/>
      <c r="AC114" s="82"/>
      <c r="AD114" s="23"/>
      <c r="AE114" s="7" t="s">
        <v>398</v>
      </c>
    </row>
    <row r="115" spans="1:34" x14ac:dyDescent="0.2">
      <c r="A115" s="141" t="s">
        <v>102</v>
      </c>
      <c r="B115" s="9" t="s">
        <v>495</v>
      </c>
      <c r="C115" s="9" t="s">
        <v>495</v>
      </c>
      <c r="D115" s="9">
        <v>0</v>
      </c>
      <c r="E115" s="9"/>
      <c r="F115" s="9">
        <v>0</v>
      </c>
      <c r="G115" s="4">
        <v>6808</v>
      </c>
      <c r="H115" s="4">
        <f t="shared" si="10"/>
        <v>6808</v>
      </c>
      <c r="I115" s="24">
        <f t="shared" si="11"/>
        <v>1</v>
      </c>
      <c r="J115" s="23">
        <v>567.37</v>
      </c>
      <c r="K115" s="23">
        <v>567.33000000000004</v>
      </c>
      <c r="L115" s="23">
        <v>567.33000000000004</v>
      </c>
      <c r="M115" s="23">
        <v>567.33000000000004</v>
      </c>
      <c r="N115" s="23">
        <v>567.33000000000004</v>
      </c>
      <c r="O115" s="23">
        <v>567.33000000000004</v>
      </c>
      <c r="P115" s="23">
        <v>567.33000000000004</v>
      </c>
      <c r="Q115" s="23">
        <v>567.33000000000004</v>
      </c>
      <c r="R115" s="23">
        <v>567.33000000000004</v>
      </c>
      <c r="S115" s="23">
        <v>0</v>
      </c>
      <c r="T115" s="23">
        <v>1701.99</v>
      </c>
      <c r="U115" s="23">
        <v>0</v>
      </c>
      <c r="V115" s="79" t="s">
        <v>581</v>
      </c>
      <c r="W115" s="23">
        <f t="shared" si="12"/>
        <v>0</v>
      </c>
      <c r="X115" s="79"/>
      <c r="Y115" s="79"/>
      <c r="Z115" s="79"/>
      <c r="AA115" s="23"/>
      <c r="AB115" s="23"/>
      <c r="AC115" s="82"/>
      <c r="AD115" s="23"/>
      <c r="AE115" s="7" t="s">
        <v>398</v>
      </c>
    </row>
    <row r="116" spans="1:34" x14ac:dyDescent="0.2">
      <c r="A116" s="141" t="s">
        <v>103</v>
      </c>
      <c r="B116" s="9" t="s">
        <v>495</v>
      </c>
      <c r="C116" s="9">
        <v>0</v>
      </c>
      <c r="D116" s="9" t="s">
        <v>495</v>
      </c>
      <c r="E116" s="9"/>
      <c r="F116" s="9">
        <v>0</v>
      </c>
      <c r="G116" s="4">
        <v>22773</v>
      </c>
      <c r="H116" s="4">
        <f t="shared" si="10"/>
        <v>22772</v>
      </c>
      <c r="I116" s="24">
        <f t="shared" si="11"/>
        <v>1</v>
      </c>
      <c r="J116" s="23">
        <v>1606</v>
      </c>
      <c r="K116" s="23">
        <v>1606</v>
      </c>
      <c r="L116" s="23">
        <v>1956</v>
      </c>
      <c r="M116" s="23">
        <v>1956</v>
      </c>
      <c r="N116" s="23">
        <v>1956</v>
      </c>
      <c r="O116" s="23">
        <v>1956</v>
      </c>
      <c r="P116" s="23">
        <v>1956</v>
      </c>
      <c r="Q116" s="23">
        <v>1956</v>
      </c>
      <c r="R116" s="23">
        <v>1956</v>
      </c>
      <c r="S116" s="23">
        <v>1956</v>
      </c>
      <c r="T116" s="23">
        <v>1956</v>
      </c>
      <c r="U116" s="23"/>
      <c r="V116" s="79" t="s">
        <v>582</v>
      </c>
      <c r="W116" s="23">
        <f t="shared" si="12"/>
        <v>1</v>
      </c>
      <c r="X116" s="79"/>
      <c r="Y116" s="79"/>
      <c r="Z116" s="79"/>
      <c r="AA116" s="23">
        <v>1956</v>
      </c>
      <c r="AB116" s="23"/>
      <c r="AC116" s="82"/>
      <c r="AD116" s="23"/>
      <c r="AE116" s="7" t="s">
        <v>396</v>
      </c>
    </row>
    <row r="117" spans="1:34" x14ac:dyDescent="0.2">
      <c r="A117" s="141" t="s">
        <v>104</v>
      </c>
      <c r="B117" s="9" t="s">
        <v>495</v>
      </c>
      <c r="C117" s="9" t="s">
        <v>495</v>
      </c>
      <c r="D117" s="9">
        <v>0</v>
      </c>
      <c r="E117" s="9"/>
      <c r="F117" s="9">
        <v>0</v>
      </c>
      <c r="G117" s="4">
        <v>5000</v>
      </c>
      <c r="H117" s="4">
        <f t="shared" si="10"/>
        <v>3415</v>
      </c>
      <c r="I117" s="24">
        <f t="shared" si="11"/>
        <v>0.68300000000000005</v>
      </c>
      <c r="J117" s="23">
        <v>0</v>
      </c>
      <c r="K117" s="23"/>
      <c r="L117" s="23"/>
      <c r="M117" s="23"/>
      <c r="N117" s="23">
        <v>1000</v>
      </c>
      <c r="O117" s="23"/>
      <c r="P117" s="23"/>
      <c r="Q117" s="23">
        <v>100</v>
      </c>
      <c r="R117" s="23">
        <v>200</v>
      </c>
      <c r="S117" s="23">
        <v>100</v>
      </c>
      <c r="T117" s="23">
        <v>1600</v>
      </c>
      <c r="U117" s="23">
        <v>415</v>
      </c>
      <c r="V117" s="79" t="s">
        <v>583</v>
      </c>
      <c r="W117" s="23">
        <f t="shared" si="12"/>
        <v>1585</v>
      </c>
      <c r="X117" s="79"/>
      <c r="Y117" s="79"/>
      <c r="Z117" s="79"/>
      <c r="AA117" s="23"/>
      <c r="AB117" s="23"/>
      <c r="AC117" s="82"/>
      <c r="AD117" s="23"/>
      <c r="AE117" s="7" t="s">
        <v>396</v>
      </c>
    </row>
    <row r="118" spans="1:34" x14ac:dyDescent="0.2">
      <c r="W118" s="3"/>
      <c r="AA118" s="82"/>
      <c r="AB118" s="82"/>
      <c r="AC118" s="82"/>
    </row>
    <row r="119" spans="1:34" x14ac:dyDescent="0.2">
      <c r="A119" t="s">
        <v>6</v>
      </c>
      <c r="G119" s="17">
        <f>SUM(G91:G118)</f>
        <v>431974</v>
      </c>
      <c r="H119" s="11">
        <f t="shared" ref="H119:U119" si="13">SUM(H91:H118)</f>
        <v>355477.88</v>
      </c>
      <c r="I119" s="4"/>
      <c r="J119" s="4">
        <f t="shared" si="13"/>
        <v>26266.5</v>
      </c>
      <c r="K119" s="4">
        <f t="shared" si="13"/>
        <v>22619.559999999998</v>
      </c>
      <c r="L119" s="4">
        <f t="shared" si="13"/>
        <v>24780.53</v>
      </c>
      <c r="M119" s="4">
        <f t="shared" si="13"/>
        <v>23940.199999999997</v>
      </c>
      <c r="N119" s="4">
        <f t="shared" si="13"/>
        <v>32863.69</v>
      </c>
      <c r="O119" s="4">
        <f t="shared" si="13"/>
        <v>33737.69</v>
      </c>
      <c r="P119" s="4">
        <f t="shared" si="13"/>
        <v>18859.740000000002</v>
      </c>
      <c r="Q119" s="4">
        <f t="shared" si="13"/>
        <v>29829.739999999998</v>
      </c>
      <c r="R119" s="4">
        <f t="shared" si="13"/>
        <v>28862.59</v>
      </c>
      <c r="S119" s="4">
        <f t="shared" si="13"/>
        <v>28169.749999999996</v>
      </c>
      <c r="T119" s="4">
        <f t="shared" si="13"/>
        <v>35311.94</v>
      </c>
      <c r="U119" s="4">
        <f t="shared" si="13"/>
        <v>48279.950000000004</v>
      </c>
      <c r="V119" s="77"/>
      <c r="W119" s="3">
        <f>G119-H119</f>
        <v>76496.12</v>
      </c>
      <c r="X119" s="4"/>
      <c r="Y119" s="4"/>
      <c r="Z119" s="4"/>
      <c r="AA119" s="83">
        <f>SUM(AA91:AA118)</f>
        <v>1956</v>
      </c>
      <c r="AB119" s="83">
        <f t="shared" ref="AB119:AC119" si="14">SUM(AB91:AB118)</f>
        <v>0</v>
      </c>
      <c r="AC119" s="83">
        <f t="shared" si="14"/>
        <v>0</v>
      </c>
      <c r="AH119" s="4">
        <f>ROUND(SUM(J119:U119),0)</f>
        <v>353522</v>
      </c>
    </row>
    <row r="120" spans="1:34" x14ac:dyDescent="0.2">
      <c r="W120" s="3"/>
      <c r="AA120" s="82"/>
      <c r="AB120" s="82"/>
      <c r="AC120" s="82"/>
    </row>
    <row r="121" spans="1:34" x14ac:dyDescent="0.2">
      <c r="W121" s="3"/>
    </row>
    <row r="122" spans="1:34" ht="15.75" x14ac:dyDescent="0.25">
      <c r="G122" s="150" t="s">
        <v>9</v>
      </c>
      <c r="W122" s="3"/>
    </row>
    <row r="123" spans="1:34" x14ac:dyDescent="0.2">
      <c r="W123" s="3"/>
    </row>
    <row r="124" spans="1:34" ht="16.5" x14ac:dyDescent="0.25">
      <c r="B124" s="8"/>
      <c r="C124" s="8"/>
      <c r="E124" s="8"/>
      <c r="F124" s="8"/>
      <c r="G124" s="20" t="str">
        <f>$G$3</f>
        <v>2020 PARISH SHARE INFORMATION</v>
      </c>
      <c r="H124" s="14"/>
      <c r="W124" s="3"/>
    </row>
    <row r="125" spans="1:34" x14ac:dyDescent="0.2">
      <c r="G125" s="19"/>
      <c r="H125" s="13"/>
      <c r="W125" s="3"/>
    </row>
    <row r="126" spans="1:34" ht="16.5" x14ac:dyDescent="0.25">
      <c r="A126" s="1" t="s">
        <v>1</v>
      </c>
      <c r="B126" s="151" t="str">
        <f>$B$5</f>
        <v>RM</v>
      </c>
      <c r="C126" s="151" t="str">
        <f>$C$5</f>
        <v>RF</v>
      </c>
      <c r="D126" s="151" t="str">
        <f>$D$5</f>
        <v>Accts</v>
      </c>
      <c r="E126" s="151"/>
      <c r="F126" s="151" t="str">
        <f>$F$5</f>
        <v>Share DD</v>
      </c>
      <c r="G126" s="153" t="str">
        <f>$G$5</f>
        <v xml:space="preserve">2020 Share </v>
      </c>
      <c r="H126" s="154" t="str">
        <f>$H$5</f>
        <v xml:space="preserve">2020 Paid </v>
      </c>
      <c r="I126" s="154" t="str">
        <f>$I$5</f>
        <v xml:space="preserve">% Paid </v>
      </c>
      <c r="J126" s="155">
        <f>$J$5</f>
        <v>43861</v>
      </c>
      <c r="K126" s="155">
        <f>$K$5</f>
        <v>43890</v>
      </c>
      <c r="L126" s="155">
        <f>$L$5</f>
        <v>43921</v>
      </c>
      <c r="M126" s="155">
        <f>$M$5</f>
        <v>43951</v>
      </c>
      <c r="N126" s="155">
        <f>$N$5</f>
        <v>43982</v>
      </c>
      <c r="O126" s="155">
        <f>$O$5</f>
        <v>44012</v>
      </c>
      <c r="P126" s="155">
        <f>$P$5</f>
        <v>44043</v>
      </c>
      <c r="Q126" s="155">
        <f>$Q$5</f>
        <v>44074</v>
      </c>
      <c r="R126" s="155">
        <f>$R$5</f>
        <v>44104</v>
      </c>
      <c r="S126" s="155">
        <f>$S$5</f>
        <v>44135</v>
      </c>
      <c r="T126" s="155">
        <f>$T$5</f>
        <v>44165</v>
      </c>
      <c r="U126" s="155">
        <f>$U$5</f>
        <v>44196</v>
      </c>
      <c r="V126" s="78"/>
      <c r="W126" s="157" t="str">
        <f>$W$5</f>
        <v xml:space="preserve">Outstanding </v>
      </c>
      <c r="X126" s="2"/>
      <c r="Y126" s="2"/>
      <c r="Z126" s="2"/>
      <c r="AA126" s="173">
        <v>44197</v>
      </c>
      <c r="AB126" s="173">
        <v>44228</v>
      </c>
      <c r="AC126" s="173">
        <v>44256</v>
      </c>
      <c r="AE126" s="152" t="str">
        <f>$AE$5</f>
        <v>Benefice</v>
      </c>
    </row>
    <row r="127" spans="1:34" ht="16.5" x14ac:dyDescent="0.25">
      <c r="G127" s="146" t="s">
        <v>1040</v>
      </c>
      <c r="H127" s="147" t="s">
        <v>1040</v>
      </c>
      <c r="I127" s="148"/>
      <c r="J127" s="147" t="s">
        <v>1040</v>
      </c>
      <c r="K127" s="147" t="s">
        <v>1040</v>
      </c>
      <c r="L127" s="147" t="s">
        <v>1040</v>
      </c>
      <c r="M127" s="147" t="s">
        <v>1040</v>
      </c>
      <c r="N127" s="147" t="s">
        <v>1040</v>
      </c>
      <c r="O127" s="147" t="s">
        <v>1040</v>
      </c>
      <c r="P127" s="147" t="s">
        <v>1040</v>
      </c>
      <c r="Q127" s="147" t="s">
        <v>1040</v>
      </c>
      <c r="R127" s="147" t="s">
        <v>1040</v>
      </c>
      <c r="S127" s="147" t="s">
        <v>1040</v>
      </c>
      <c r="T127" s="147" t="s">
        <v>1040</v>
      </c>
      <c r="U127" s="147" t="s">
        <v>1040</v>
      </c>
      <c r="W127" s="3"/>
      <c r="AA127" s="174" t="s">
        <v>1040</v>
      </c>
      <c r="AB127" s="174" t="s">
        <v>1040</v>
      </c>
      <c r="AC127" s="174" t="s">
        <v>1040</v>
      </c>
    </row>
    <row r="128" spans="1:34" x14ac:dyDescent="0.2">
      <c r="W128" s="3"/>
    </row>
    <row r="129" spans="1:31" x14ac:dyDescent="0.2">
      <c r="A129" s="144" t="s">
        <v>105</v>
      </c>
      <c r="B129" s="9" t="s">
        <v>495</v>
      </c>
      <c r="C129" s="9" t="s">
        <v>495</v>
      </c>
      <c r="D129" s="9">
        <v>0</v>
      </c>
      <c r="E129" s="9"/>
      <c r="F129" s="9">
        <v>0</v>
      </c>
      <c r="G129" s="4">
        <v>75523</v>
      </c>
      <c r="H129" s="4">
        <f t="shared" ref="H129:H155" si="15">SUM(J129:U129)+SUM(AA129:AC129)</f>
        <v>75522.960000000006</v>
      </c>
      <c r="I129" s="24">
        <f t="shared" ref="I129:I155" si="16">ROUND((H129/G129),4)</f>
        <v>1</v>
      </c>
      <c r="J129" s="23">
        <v>6293.58</v>
      </c>
      <c r="K129" s="23">
        <v>6293.58</v>
      </c>
      <c r="L129" s="23">
        <v>6293.58</v>
      </c>
      <c r="M129" s="23">
        <v>6293.58</v>
      </c>
      <c r="N129" s="23">
        <v>6293.58</v>
      </c>
      <c r="O129" s="23">
        <v>6293.58</v>
      </c>
      <c r="P129" s="23">
        <v>6293.58</v>
      </c>
      <c r="Q129" s="23">
        <v>6293.58</v>
      </c>
      <c r="R129" s="23">
        <v>6293.58</v>
      </c>
      <c r="S129" s="23">
        <v>6293.58</v>
      </c>
      <c r="T129" s="23">
        <v>6293.58</v>
      </c>
      <c r="U129" s="23">
        <v>6293.58</v>
      </c>
      <c r="V129" s="7" t="s">
        <v>584</v>
      </c>
      <c r="W129" s="23">
        <f t="shared" ref="W129:W155" si="17">G129-H129</f>
        <v>3.9999999993597157E-2</v>
      </c>
      <c r="X129" s="79"/>
      <c r="Y129" s="4"/>
      <c r="Z129" s="4"/>
      <c r="AA129" s="23"/>
      <c r="AB129" s="23"/>
      <c r="AC129" s="82"/>
      <c r="AD129" s="23"/>
      <c r="AE129" s="7" t="s">
        <v>399</v>
      </c>
    </row>
    <row r="130" spans="1:31" x14ac:dyDescent="0.2">
      <c r="A130" s="144" t="s">
        <v>106</v>
      </c>
      <c r="B130" s="9" t="s">
        <v>495</v>
      </c>
      <c r="C130" s="9" t="s">
        <v>495</v>
      </c>
      <c r="D130" s="9" t="s">
        <v>495</v>
      </c>
      <c r="E130" s="9"/>
      <c r="F130" s="9">
        <v>0</v>
      </c>
      <c r="G130" s="4">
        <v>109177</v>
      </c>
      <c r="H130" s="4">
        <f t="shared" si="15"/>
        <v>68000</v>
      </c>
      <c r="I130" s="24">
        <f t="shared" si="16"/>
        <v>0.62280000000000002</v>
      </c>
      <c r="J130" s="23">
        <v>0</v>
      </c>
      <c r="K130" s="23"/>
      <c r="L130" s="23">
        <v>15000</v>
      </c>
      <c r="M130" s="23"/>
      <c r="N130" s="23">
        <v>10000</v>
      </c>
      <c r="O130" s="23">
        <v>5000</v>
      </c>
      <c r="P130" s="23">
        <v>5000</v>
      </c>
      <c r="Q130" s="23">
        <v>5000</v>
      </c>
      <c r="R130" s="23">
        <v>5000</v>
      </c>
      <c r="S130" s="23">
        <v>5000</v>
      </c>
      <c r="T130" s="23">
        <v>5000</v>
      </c>
      <c r="U130" s="23"/>
      <c r="V130" s="7" t="s">
        <v>585</v>
      </c>
      <c r="W130" s="23">
        <f t="shared" si="17"/>
        <v>41177</v>
      </c>
      <c r="X130" s="79"/>
      <c r="Y130" s="7"/>
      <c r="Z130" s="7"/>
      <c r="AA130" s="175">
        <v>13000</v>
      </c>
      <c r="AB130" s="23"/>
      <c r="AC130" s="82"/>
      <c r="AD130" s="23"/>
      <c r="AE130" s="7" t="s">
        <v>401</v>
      </c>
    </row>
    <row r="131" spans="1:31" x14ac:dyDescent="0.2">
      <c r="A131" s="144" t="s">
        <v>107</v>
      </c>
      <c r="B131" s="9" t="s">
        <v>495</v>
      </c>
      <c r="C131" s="9" t="s">
        <v>495</v>
      </c>
      <c r="D131" s="9" t="s">
        <v>495</v>
      </c>
      <c r="E131" s="9"/>
      <c r="F131" s="9" t="s">
        <v>495</v>
      </c>
      <c r="G131" s="4">
        <v>194150.75</v>
      </c>
      <c r="H131" s="4">
        <f t="shared" si="15"/>
        <v>194150.84</v>
      </c>
      <c r="I131" s="24">
        <f t="shared" si="16"/>
        <v>1</v>
      </c>
      <c r="J131" s="23">
        <v>12725.74</v>
      </c>
      <c r="K131" s="23">
        <v>12725.66</v>
      </c>
      <c r="L131" s="23">
        <v>12725.66</v>
      </c>
      <c r="M131" s="23">
        <v>12725.66</v>
      </c>
      <c r="N131" s="23">
        <v>12725.66</v>
      </c>
      <c r="O131" s="23">
        <v>73186.28</v>
      </c>
      <c r="P131" s="23">
        <v>9556.0300000000007</v>
      </c>
      <c r="Q131" s="23">
        <v>9556.0300000000007</v>
      </c>
      <c r="R131" s="23">
        <v>9556.0300000000007</v>
      </c>
      <c r="S131" s="23">
        <v>9556.0300000000007</v>
      </c>
      <c r="T131" s="23">
        <v>9556.0300000000007</v>
      </c>
      <c r="U131" s="23">
        <v>9556.0300000000007</v>
      </c>
      <c r="V131" s="7" t="s">
        <v>586</v>
      </c>
      <c r="W131" s="23">
        <f t="shared" si="17"/>
        <v>-8.999999999650754E-2</v>
      </c>
      <c r="X131" s="79"/>
      <c r="Y131" s="7"/>
      <c r="Z131" s="7"/>
      <c r="AA131" s="23"/>
      <c r="AB131" s="23"/>
      <c r="AC131" s="82"/>
      <c r="AD131" s="23"/>
      <c r="AE131" s="7" t="s">
        <v>402</v>
      </c>
    </row>
    <row r="132" spans="1:31" x14ac:dyDescent="0.2">
      <c r="A132" s="144" t="s">
        <v>108</v>
      </c>
      <c r="B132" s="9" t="s">
        <v>495</v>
      </c>
      <c r="C132" s="9" t="s">
        <v>495</v>
      </c>
      <c r="D132" s="9" t="s">
        <v>495</v>
      </c>
      <c r="E132" s="9"/>
      <c r="F132" s="9">
        <v>0</v>
      </c>
      <c r="G132" s="4">
        <v>40656</v>
      </c>
      <c r="H132" s="4">
        <f t="shared" si="15"/>
        <v>20000</v>
      </c>
      <c r="I132" s="24">
        <f t="shared" si="16"/>
        <v>0.4919</v>
      </c>
      <c r="J132" s="23">
        <v>0</v>
      </c>
      <c r="K132" s="23"/>
      <c r="L132" s="23"/>
      <c r="M132" s="23"/>
      <c r="N132" s="23">
        <v>6000</v>
      </c>
      <c r="O132" s="23"/>
      <c r="P132" s="23"/>
      <c r="Q132" s="23"/>
      <c r="R132" s="23"/>
      <c r="S132" s="23"/>
      <c r="T132" s="23"/>
      <c r="U132" s="23">
        <v>6000</v>
      </c>
      <c r="V132" s="7" t="s">
        <v>587</v>
      </c>
      <c r="W132" s="23">
        <f t="shared" si="17"/>
        <v>20656</v>
      </c>
      <c r="X132" s="79"/>
      <c r="Y132" s="7"/>
      <c r="Z132" s="7"/>
      <c r="AA132" s="175">
        <v>8000</v>
      </c>
      <c r="AB132" s="23"/>
      <c r="AC132" s="82"/>
      <c r="AD132" s="23"/>
      <c r="AE132" s="7" t="s">
        <v>403</v>
      </c>
    </row>
    <row r="133" spans="1:31" x14ac:dyDescent="0.2">
      <c r="A133" s="144" t="s">
        <v>109</v>
      </c>
      <c r="B133" s="9" t="s">
        <v>495</v>
      </c>
      <c r="C133" s="9" t="s">
        <v>495</v>
      </c>
      <c r="D133" s="9" t="s">
        <v>495</v>
      </c>
      <c r="E133" s="9"/>
      <c r="F133" s="9">
        <v>0</v>
      </c>
      <c r="G133" s="4">
        <v>42376</v>
      </c>
      <c r="H133" s="4">
        <f t="shared" si="15"/>
        <v>42376</v>
      </c>
      <c r="I133" s="24">
        <f t="shared" si="16"/>
        <v>1</v>
      </c>
      <c r="J133" s="23">
        <v>0</v>
      </c>
      <c r="K133" s="23"/>
      <c r="L133" s="23">
        <v>5000</v>
      </c>
      <c r="M133" s="23"/>
      <c r="N133" s="23"/>
      <c r="O133" s="23"/>
      <c r="P133" s="23"/>
      <c r="Q133" s="23">
        <v>14000</v>
      </c>
      <c r="R133" s="23"/>
      <c r="S133" s="23">
        <v>10000</v>
      </c>
      <c r="T133" s="23"/>
      <c r="U133" s="23">
        <v>13376</v>
      </c>
      <c r="V133" s="7" t="s">
        <v>588</v>
      </c>
      <c r="W133" s="23">
        <f t="shared" si="17"/>
        <v>0</v>
      </c>
      <c r="X133" s="79"/>
      <c r="Y133" s="7"/>
      <c r="Z133" s="7"/>
      <c r="AA133" s="23"/>
      <c r="AB133" s="23"/>
      <c r="AC133" s="82"/>
      <c r="AD133" s="23"/>
      <c r="AE133" s="7" t="s">
        <v>404</v>
      </c>
    </row>
    <row r="134" spans="1:31" x14ac:dyDescent="0.2">
      <c r="A134" s="144" t="s">
        <v>110</v>
      </c>
      <c r="B134" s="9" t="s">
        <v>495</v>
      </c>
      <c r="C134" s="9" t="s">
        <v>495</v>
      </c>
      <c r="D134" s="9">
        <v>0</v>
      </c>
      <c r="E134" s="9"/>
      <c r="F134" s="9">
        <v>0</v>
      </c>
      <c r="G134" s="4">
        <v>51430</v>
      </c>
      <c r="H134" s="4">
        <f t="shared" si="15"/>
        <v>51430</v>
      </c>
      <c r="I134" s="24">
        <f t="shared" si="16"/>
        <v>1</v>
      </c>
      <c r="J134" s="23">
        <v>4295</v>
      </c>
      <c r="K134" s="23">
        <v>4285</v>
      </c>
      <c r="L134" s="23">
        <v>4285</v>
      </c>
      <c r="M134" s="23">
        <v>4285</v>
      </c>
      <c r="N134" s="23">
        <v>4285</v>
      </c>
      <c r="O134" s="23">
        <v>4285</v>
      </c>
      <c r="P134" s="23">
        <v>4285</v>
      </c>
      <c r="Q134" s="23">
        <v>4285</v>
      </c>
      <c r="R134" s="23">
        <v>4285</v>
      </c>
      <c r="S134" s="23">
        <v>4285</v>
      </c>
      <c r="T134" s="23">
        <v>4285</v>
      </c>
      <c r="U134" s="23">
        <v>4285</v>
      </c>
      <c r="V134" s="7" t="s">
        <v>589</v>
      </c>
      <c r="W134" s="23">
        <f t="shared" si="17"/>
        <v>0</v>
      </c>
      <c r="X134" s="79"/>
      <c r="Y134" s="7"/>
      <c r="Z134" s="7"/>
      <c r="AA134" s="23"/>
      <c r="AB134" s="23"/>
      <c r="AC134" s="82"/>
      <c r="AD134" s="23"/>
      <c r="AE134" s="7" t="s">
        <v>405</v>
      </c>
    </row>
    <row r="135" spans="1:31" x14ac:dyDescent="0.2">
      <c r="A135" s="144" t="s">
        <v>111</v>
      </c>
      <c r="B135" s="9" t="s">
        <v>495</v>
      </c>
      <c r="C135" s="9">
        <v>0</v>
      </c>
      <c r="D135" s="9">
        <v>0</v>
      </c>
      <c r="E135" s="9"/>
      <c r="F135" s="9">
        <v>0</v>
      </c>
      <c r="G135" s="4">
        <v>17502</v>
      </c>
      <c r="H135" s="4">
        <f t="shared" si="15"/>
        <v>5000</v>
      </c>
      <c r="I135" s="24">
        <f t="shared" si="16"/>
        <v>0.28570000000000001</v>
      </c>
      <c r="J135" s="23">
        <v>0</v>
      </c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7" t="s">
        <v>590</v>
      </c>
      <c r="W135" s="23">
        <f t="shared" si="17"/>
        <v>12502</v>
      </c>
      <c r="X135" s="79"/>
      <c r="Y135" s="7"/>
      <c r="Z135" s="7"/>
      <c r="AA135" s="175">
        <f>2000+2000+1000</f>
        <v>5000</v>
      </c>
      <c r="AB135" s="23"/>
      <c r="AC135" s="82"/>
      <c r="AD135" s="23"/>
      <c r="AE135" s="7" t="s">
        <v>404</v>
      </c>
    </row>
    <row r="136" spans="1:31" x14ac:dyDescent="0.2">
      <c r="A136" s="144" t="s">
        <v>112</v>
      </c>
      <c r="B136" s="9" t="s">
        <v>495</v>
      </c>
      <c r="C136" s="9" t="s">
        <v>495</v>
      </c>
      <c r="D136" s="9">
        <v>0</v>
      </c>
      <c r="E136" s="9"/>
      <c r="F136" s="9">
        <v>0</v>
      </c>
      <c r="G136" s="4">
        <v>66353</v>
      </c>
      <c r="H136" s="4">
        <f t="shared" si="15"/>
        <v>66353</v>
      </c>
      <c r="I136" s="24">
        <f t="shared" si="16"/>
        <v>1</v>
      </c>
      <c r="J136" s="23">
        <v>2000</v>
      </c>
      <c r="K136" s="23">
        <v>2000</v>
      </c>
      <c r="L136" s="23">
        <v>2000</v>
      </c>
      <c r="M136" s="23">
        <v>2000</v>
      </c>
      <c r="N136" s="23">
        <v>2000</v>
      </c>
      <c r="O136" s="23">
        <v>2000</v>
      </c>
      <c r="P136" s="23">
        <v>3000</v>
      </c>
      <c r="Q136" s="23">
        <v>2000</v>
      </c>
      <c r="R136" s="23">
        <v>7000</v>
      </c>
      <c r="S136" s="23">
        <v>2000</v>
      </c>
      <c r="T136" s="23">
        <v>2000</v>
      </c>
      <c r="U136" s="23">
        <v>38353</v>
      </c>
      <c r="V136" s="7" t="s">
        <v>591</v>
      </c>
      <c r="W136" s="23">
        <f t="shared" si="17"/>
        <v>0</v>
      </c>
      <c r="X136" s="79"/>
      <c r="Y136" s="7"/>
      <c r="Z136" s="7"/>
      <c r="AA136" s="23"/>
      <c r="AB136" s="23"/>
      <c r="AC136" s="82"/>
      <c r="AD136" s="23"/>
      <c r="AE136" s="7" t="s">
        <v>406</v>
      </c>
    </row>
    <row r="137" spans="1:31" x14ac:dyDescent="0.2">
      <c r="A137" s="144" t="s">
        <v>113</v>
      </c>
      <c r="B137" s="9" t="s">
        <v>495</v>
      </c>
      <c r="C137" s="9" t="s">
        <v>495</v>
      </c>
      <c r="D137" s="9">
        <v>0</v>
      </c>
      <c r="E137" s="9"/>
      <c r="F137" s="9" t="s">
        <v>495</v>
      </c>
      <c r="G137" s="4">
        <v>111579</v>
      </c>
      <c r="H137" s="4">
        <f t="shared" si="15"/>
        <v>111579</v>
      </c>
      <c r="I137" s="24">
        <f t="shared" si="16"/>
        <v>1</v>
      </c>
      <c r="J137" s="23">
        <v>9298.25</v>
      </c>
      <c r="K137" s="23">
        <v>9298.25</v>
      </c>
      <c r="L137" s="23">
        <v>9298.25</v>
      </c>
      <c r="M137" s="23">
        <v>9298.25</v>
      </c>
      <c r="N137" s="23">
        <v>9298.25</v>
      </c>
      <c r="O137" s="23">
        <v>9298.25</v>
      </c>
      <c r="P137" s="23">
        <v>9298.25</v>
      </c>
      <c r="Q137" s="23">
        <v>9298.25</v>
      </c>
      <c r="R137" s="23">
        <v>9298.25</v>
      </c>
      <c r="S137" s="23">
        <v>9298.25</v>
      </c>
      <c r="T137" s="23">
        <v>9298.25</v>
      </c>
      <c r="U137" s="23">
        <v>9298.25</v>
      </c>
      <c r="V137" s="7" t="s">
        <v>592</v>
      </c>
      <c r="W137" s="23">
        <f t="shared" si="17"/>
        <v>0</v>
      </c>
      <c r="X137" s="79"/>
      <c r="Y137" s="7"/>
      <c r="Z137" s="7"/>
      <c r="AA137" s="23"/>
      <c r="AB137" s="23"/>
      <c r="AC137" s="82"/>
      <c r="AD137" s="23"/>
      <c r="AE137" s="7" t="s">
        <v>407</v>
      </c>
    </row>
    <row r="138" spans="1:31" x14ac:dyDescent="0.2">
      <c r="A138" s="144" t="s">
        <v>114</v>
      </c>
      <c r="B138" s="9">
        <v>0</v>
      </c>
      <c r="C138" s="9">
        <v>0</v>
      </c>
      <c r="D138" s="9">
        <v>0</v>
      </c>
      <c r="E138" s="9"/>
      <c r="F138" s="9" t="s">
        <v>495</v>
      </c>
      <c r="G138" s="4">
        <v>79130</v>
      </c>
      <c r="H138" s="4">
        <f t="shared" si="15"/>
        <v>60282.559999999998</v>
      </c>
      <c r="I138" s="24">
        <f t="shared" si="16"/>
        <v>0.76180000000000003</v>
      </c>
      <c r="J138" s="23">
        <v>6594.24</v>
      </c>
      <c r="K138" s="23">
        <v>6594.16</v>
      </c>
      <c r="L138" s="23">
        <v>6594.16</v>
      </c>
      <c r="M138" s="23">
        <v>4500</v>
      </c>
      <c r="N138" s="23">
        <v>4500</v>
      </c>
      <c r="O138" s="23">
        <v>4500</v>
      </c>
      <c r="P138" s="23">
        <v>4500</v>
      </c>
      <c r="Q138" s="23">
        <v>4500</v>
      </c>
      <c r="R138" s="23">
        <v>4500</v>
      </c>
      <c r="S138" s="23">
        <v>4500</v>
      </c>
      <c r="T138" s="23">
        <v>4500</v>
      </c>
      <c r="U138" s="23">
        <v>4500</v>
      </c>
      <c r="V138" s="7" t="s">
        <v>593</v>
      </c>
      <c r="W138" s="23">
        <f t="shared" si="17"/>
        <v>18847.440000000002</v>
      </c>
      <c r="X138" s="79"/>
      <c r="Y138" s="7"/>
      <c r="Z138" s="7"/>
      <c r="AA138" s="23"/>
      <c r="AB138" s="23"/>
      <c r="AC138" s="82"/>
      <c r="AD138" s="23"/>
      <c r="AE138" s="7" t="s">
        <v>409</v>
      </c>
    </row>
    <row r="139" spans="1:31" x14ac:dyDescent="0.2">
      <c r="A139" s="144" t="s">
        <v>115</v>
      </c>
      <c r="B139" s="9" t="s">
        <v>495</v>
      </c>
      <c r="C139" s="9" t="s">
        <v>495</v>
      </c>
      <c r="D139" s="9" t="s">
        <v>495</v>
      </c>
      <c r="E139" s="9"/>
      <c r="F139" s="9">
        <v>0</v>
      </c>
      <c r="G139" s="4">
        <v>36231</v>
      </c>
      <c r="H139" s="4">
        <f t="shared" si="15"/>
        <v>30731</v>
      </c>
      <c r="I139" s="24">
        <f t="shared" si="16"/>
        <v>0.84819999999999995</v>
      </c>
      <c r="J139" s="23">
        <v>1500</v>
      </c>
      <c r="K139" s="23">
        <v>1500</v>
      </c>
      <c r="L139" s="23">
        <v>1500</v>
      </c>
      <c r="M139" s="23">
        <v>1500</v>
      </c>
      <c r="N139" s="23">
        <v>1500</v>
      </c>
      <c r="O139" s="23">
        <v>1500</v>
      </c>
      <c r="P139" s="23">
        <v>1500</v>
      </c>
      <c r="Q139" s="23">
        <v>1500</v>
      </c>
      <c r="R139" s="23">
        <v>1500</v>
      </c>
      <c r="S139" s="23">
        <v>1500</v>
      </c>
      <c r="T139" s="23">
        <v>1500</v>
      </c>
      <c r="U139" s="82">
        <f>13500+731</f>
        <v>14231</v>
      </c>
      <c r="V139" s="7" t="s">
        <v>594</v>
      </c>
      <c r="W139" s="23">
        <f t="shared" si="17"/>
        <v>5500</v>
      </c>
      <c r="X139" s="79"/>
      <c r="Y139" s="7"/>
      <c r="Z139" s="7"/>
      <c r="AA139" s="23"/>
      <c r="AB139" s="23"/>
      <c r="AC139" s="82"/>
      <c r="AD139" s="23"/>
      <c r="AE139" s="7" t="s">
        <v>404</v>
      </c>
    </row>
    <row r="140" spans="1:31" x14ac:dyDescent="0.2">
      <c r="A140" s="144" t="s">
        <v>116</v>
      </c>
      <c r="B140" s="9">
        <v>0</v>
      </c>
      <c r="C140" s="9" t="s">
        <v>495</v>
      </c>
      <c r="D140" s="9" t="s">
        <v>495</v>
      </c>
      <c r="E140" s="9"/>
      <c r="F140" s="9" t="s">
        <v>495</v>
      </c>
      <c r="G140" s="4">
        <v>47588</v>
      </c>
      <c r="H140" s="4">
        <f t="shared" si="15"/>
        <v>15500</v>
      </c>
      <c r="I140" s="24">
        <f t="shared" si="16"/>
        <v>0.32569999999999999</v>
      </c>
      <c r="J140" s="23">
        <v>1500</v>
      </c>
      <c r="K140" s="23">
        <v>1500</v>
      </c>
      <c r="L140" s="23">
        <v>1500</v>
      </c>
      <c r="M140" s="23">
        <v>0</v>
      </c>
      <c r="N140" s="23"/>
      <c r="O140" s="23">
        <v>3000</v>
      </c>
      <c r="P140" s="23"/>
      <c r="Q140" s="23"/>
      <c r="R140" s="23">
        <v>3000</v>
      </c>
      <c r="S140" s="23"/>
      <c r="T140" s="23"/>
      <c r="U140" s="82">
        <v>5000</v>
      </c>
      <c r="V140" s="7" t="s">
        <v>595</v>
      </c>
      <c r="W140" s="23">
        <f t="shared" si="17"/>
        <v>32088</v>
      </c>
      <c r="X140" s="79"/>
      <c r="Y140" s="7"/>
      <c r="Z140" s="7"/>
      <c r="AA140" s="23"/>
      <c r="AB140" s="23"/>
      <c r="AC140" s="82"/>
      <c r="AD140" s="23"/>
      <c r="AE140" s="7" t="s">
        <v>404</v>
      </c>
    </row>
    <row r="141" spans="1:31" x14ac:dyDescent="0.2">
      <c r="A141" s="144" t="s">
        <v>117</v>
      </c>
      <c r="B141" s="9" t="s">
        <v>495</v>
      </c>
      <c r="C141" s="9" t="s">
        <v>495</v>
      </c>
      <c r="D141" s="9" t="s">
        <v>495</v>
      </c>
      <c r="E141" s="9"/>
      <c r="F141" s="9">
        <v>0</v>
      </c>
      <c r="G141" s="4">
        <v>90610</v>
      </c>
      <c r="H141" s="4">
        <f t="shared" si="15"/>
        <v>90610</v>
      </c>
      <c r="I141" s="24">
        <f t="shared" si="16"/>
        <v>1</v>
      </c>
      <c r="J141" s="23">
        <v>7560</v>
      </c>
      <c r="K141" s="23">
        <v>7550</v>
      </c>
      <c r="L141" s="23">
        <v>7550</v>
      </c>
      <c r="M141" s="23">
        <v>7550</v>
      </c>
      <c r="N141" s="23">
        <v>7550</v>
      </c>
      <c r="O141" s="23">
        <v>7550</v>
      </c>
      <c r="P141" s="23">
        <v>7550</v>
      </c>
      <c r="Q141" s="23">
        <v>22650</v>
      </c>
      <c r="R141" s="23"/>
      <c r="S141" s="23"/>
      <c r="T141" s="23">
        <v>15100</v>
      </c>
      <c r="U141" s="23"/>
      <c r="V141" s="7" t="s">
        <v>596</v>
      </c>
      <c r="W141" s="23">
        <f t="shared" si="17"/>
        <v>0</v>
      </c>
      <c r="X141" s="79"/>
      <c r="Y141" s="7"/>
      <c r="Z141" s="7"/>
      <c r="AA141" s="23"/>
      <c r="AB141" s="23"/>
      <c r="AC141" s="82"/>
      <c r="AD141" s="23"/>
      <c r="AE141" s="7" t="s">
        <v>410</v>
      </c>
    </row>
    <row r="142" spans="1:31" x14ac:dyDescent="0.2">
      <c r="A142" s="144" t="s">
        <v>118</v>
      </c>
      <c r="B142" s="9" t="s">
        <v>495</v>
      </c>
      <c r="C142" s="9" t="s">
        <v>495</v>
      </c>
      <c r="D142" s="9" t="s">
        <v>495</v>
      </c>
      <c r="E142" s="9"/>
      <c r="F142" s="9">
        <v>0</v>
      </c>
      <c r="G142" s="4">
        <v>44742</v>
      </c>
      <c r="H142" s="4">
        <f t="shared" si="15"/>
        <v>30500</v>
      </c>
      <c r="I142" s="24">
        <f t="shared" si="16"/>
        <v>0.68169999999999997</v>
      </c>
      <c r="J142" s="23">
        <v>0</v>
      </c>
      <c r="K142" s="23">
        <v>4000</v>
      </c>
      <c r="L142" s="23">
        <v>2500</v>
      </c>
      <c r="M142" s="23">
        <v>2500</v>
      </c>
      <c r="N142" s="23">
        <v>2000</v>
      </c>
      <c r="O142" s="23">
        <v>4000</v>
      </c>
      <c r="P142" s="23">
        <v>3000</v>
      </c>
      <c r="Q142" s="23">
        <v>2000</v>
      </c>
      <c r="R142" s="23">
        <v>2500</v>
      </c>
      <c r="S142" s="23">
        <v>2500</v>
      </c>
      <c r="T142" s="23">
        <v>3500</v>
      </c>
      <c r="U142" s="23">
        <v>2000</v>
      </c>
      <c r="V142" s="7" t="s">
        <v>597</v>
      </c>
      <c r="W142" s="23">
        <f t="shared" si="17"/>
        <v>14242</v>
      </c>
      <c r="X142" s="79"/>
      <c r="Y142" s="7"/>
      <c r="Z142" s="7"/>
      <c r="AA142" s="23"/>
      <c r="AB142" s="23"/>
      <c r="AC142" s="82"/>
      <c r="AD142" s="23"/>
      <c r="AE142" s="7" t="s">
        <v>400</v>
      </c>
    </row>
    <row r="143" spans="1:31" x14ac:dyDescent="0.2">
      <c r="A143" s="144" t="s">
        <v>119</v>
      </c>
      <c r="B143" s="9" t="s">
        <v>495</v>
      </c>
      <c r="C143" s="9" t="s">
        <v>495</v>
      </c>
      <c r="D143" s="9" t="s">
        <v>495</v>
      </c>
      <c r="E143" s="9"/>
      <c r="F143" s="9">
        <v>0</v>
      </c>
      <c r="G143" s="4">
        <v>28395</v>
      </c>
      <c r="H143" s="4">
        <f t="shared" si="15"/>
        <v>24000</v>
      </c>
      <c r="I143" s="24">
        <f t="shared" si="16"/>
        <v>0.84519999999999995</v>
      </c>
      <c r="J143" s="23">
        <v>2366.25</v>
      </c>
      <c r="K143" s="23">
        <v>1366.25</v>
      </c>
      <c r="L143" s="23">
        <v>3366.25</v>
      </c>
      <c r="M143" s="23"/>
      <c r="N143" s="23">
        <v>3732.5</v>
      </c>
      <c r="O143" s="23">
        <v>1881.25</v>
      </c>
      <c r="P143" s="23">
        <v>1881.25</v>
      </c>
      <c r="Q143" s="23">
        <v>1881.25</v>
      </c>
      <c r="R143" s="23">
        <v>1881.25</v>
      </c>
      <c r="S143" s="23">
        <v>1881.25</v>
      </c>
      <c r="T143" s="23">
        <v>1881.25</v>
      </c>
      <c r="U143" s="23">
        <v>1881.25</v>
      </c>
      <c r="V143" s="7" t="s">
        <v>598</v>
      </c>
      <c r="W143" s="23">
        <f t="shared" si="17"/>
        <v>4395</v>
      </c>
      <c r="X143" s="79"/>
      <c r="Y143" s="7"/>
      <c r="Z143" s="7"/>
      <c r="AA143" s="23"/>
      <c r="AB143" s="23"/>
      <c r="AC143" s="82"/>
      <c r="AD143" s="23"/>
      <c r="AE143" s="7" t="s">
        <v>411</v>
      </c>
    </row>
    <row r="144" spans="1:31" x14ac:dyDescent="0.2">
      <c r="A144" s="144" t="s">
        <v>120</v>
      </c>
      <c r="B144" s="9" t="s">
        <v>495</v>
      </c>
      <c r="C144" s="9" t="s">
        <v>495</v>
      </c>
      <c r="D144" s="9">
        <v>0</v>
      </c>
      <c r="E144" s="9"/>
      <c r="F144" s="9" t="s">
        <v>495</v>
      </c>
      <c r="G144" s="4">
        <v>113604</v>
      </c>
      <c r="H144" s="4">
        <f t="shared" si="15"/>
        <v>46000</v>
      </c>
      <c r="I144" s="24">
        <f t="shared" si="16"/>
        <v>0.40489999999999998</v>
      </c>
      <c r="J144" s="23">
        <v>6119</v>
      </c>
      <c r="K144" s="23">
        <v>5000</v>
      </c>
      <c r="L144" s="23">
        <v>3881</v>
      </c>
      <c r="M144" s="23">
        <v>5000</v>
      </c>
      <c r="N144" s="23">
        <v>5000</v>
      </c>
      <c r="O144" s="23">
        <v>3000</v>
      </c>
      <c r="P144" s="23">
        <v>3000</v>
      </c>
      <c r="Q144" s="23">
        <v>3000</v>
      </c>
      <c r="R144" s="23">
        <v>3000</v>
      </c>
      <c r="S144" s="23">
        <v>3000</v>
      </c>
      <c r="T144" s="23">
        <v>3000</v>
      </c>
      <c r="U144" s="23">
        <v>3000</v>
      </c>
      <c r="V144" s="7" t="s">
        <v>599</v>
      </c>
      <c r="W144" s="23">
        <f t="shared" si="17"/>
        <v>67604</v>
      </c>
      <c r="X144" s="79"/>
      <c r="Y144" s="7"/>
      <c r="Z144" s="7"/>
      <c r="AA144" s="23"/>
      <c r="AB144" s="23"/>
      <c r="AC144" s="82"/>
      <c r="AD144" s="23"/>
      <c r="AE144" s="7" t="s">
        <v>412</v>
      </c>
    </row>
    <row r="145" spans="1:34" x14ac:dyDescent="0.2">
      <c r="A145" s="144" t="s">
        <v>121</v>
      </c>
      <c r="B145" s="9" t="s">
        <v>495</v>
      </c>
      <c r="C145" s="9" t="s">
        <v>495</v>
      </c>
      <c r="D145" s="9" t="s">
        <v>495</v>
      </c>
      <c r="E145" s="9"/>
      <c r="F145" s="9">
        <v>0</v>
      </c>
      <c r="G145" s="4">
        <v>28510</v>
      </c>
      <c r="H145" s="4">
        <f t="shared" si="15"/>
        <v>14075</v>
      </c>
      <c r="I145" s="24">
        <f t="shared" si="16"/>
        <v>0.49370000000000003</v>
      </c>
      <c r="J145" s="23">
        <v>0</v>
      </c>
      <c r="K145" s="23"/>
      <c r="L145" s="23"/>
      <c r="M145" s="23">
        <v>5775</v>
      </c>
      <c r="N145" s="23">
        <v>1450</v>
      </c>
      <c r="O145" s="23">
        <v>1450</v>
      </c>
      <c r="P145" s="23">
        <v>1450</v>
      </c>
      <c r="Q145" s="23"/>
      <c r="R145" s="23">
        <v>2900</v>
      </c>
      <c r="S145" s="23">
        <v>25</v>
      </c>
      <c r="T145" s="23">
        <v>1025</v>
      </c>
      <c r="U145" s="23"/>
      <c r="V145" s="7" t="s">
        <v>600</v>
      </c>
      <c r="W145" s="23">
        <f t="shared" si="17"/>
        <v>14435</v>
      </c>
      <c r="X145" s="79"/>
      <c r="Y145" s="7"/>
      <c r="Z145" s="7"/>
      <c r="AA145" s="23"/>
      <c r="AB145" s="23"/>
      <c r="AC145" s="82"/>
      <c r="AD145" s="23"/>
      <c r="AE145" s="7" t="s">
        <v>415</v>
      </c>
    </row>
    <row r="146" spans="1:34" x14ac:dyDescent="0.2">
      <c r="A146" s="144" t="s">
        <v>122</v>
      </c>
      <c r="B146" s="9">
        <v>0</v>
      </c>
      <c r="C146" s="9">
        <v>0</v>
      </c>
      <c r="D146" s="9">
        <v>0</v>
      </c>
      <c r="E146" s="9"/>
      <c r="F146" s="9">
        <v>0</v>
      </c>
      <c r="G146" s="4">
        <v>0</v>
      </c>
      <c r="H146" s="4">
        <f t="shared" si="15"/>
        <v>0</v>
      </c>
      <c r="I146" s="24" t="e">
        <f t="shared" si="16"/>
        <v>#DIV/0!</v>
      </c>
      <c r="J146" s="23">
        <v>0</v>
      </c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7" t="s">
        <v>601</v>
      </c>
      <c r="W146" s="23">
        <f t="shared" si="17"/>
        <v>0</v>
      </c>
      <c r="X146" s="79"/>
      <c r="Y146" s="7"/>
      <c r="Z146" s="7"/>
      <c r="AA146" s="23"/>
      <c r="AB146" s="23"/>
      <c r="AC146" s="82"/>
      <c r="AD146" s="23"/>
      <c r="AE146" s="7" t="s">
        <v>415</v>
      </c>
    </row>
    <row r="147" spans="1:34" x14ac:dyDescent="0.2">
      <c r="A147" s="144" t="s">
        <v>123</v>
      </c>
      <c r="B147" s="9" t="s">
        <v>495</v>
      </c>
      <c r="C147" s="9" t="s">
        <v>495</v>
      </c>
      <c r="D147" s="9" t="s">
        <v>495</v>
      </c>
      <c r="E147" s="9"/>
      <c r="F147" s="9">
        <v>0</v>
      </c>
      <c r="G147" s="4">
        <v>23780</v>
      </c>
      <c r="H147" s="4">
        <f t="shared" si="15"/>
        <v>23780</v>
      </c>
      <c r="I147" s="24">
        <f t="shared" si="16"/>
        <v>1</v>
      </c>
      <c r="J147" s="23">
        <v>0</v>
      </c>
      <c r="K147" s="23">
        <v>2000</v>
      </c>
      <c r="L147" s="23">
        <v>2000</v>
      </c>
      <c r="M147" s="23">
        <v>2000</v>
      </c>
      <c r="N147" s="23">
        <v>2000</v>
      </c>
      <c r="O147" s="23">
        <v>2000</v>
      </c>
      <c r="P147" s="23">
        <v>2000</v>
      </c>
      <c r="Q147" s="23">
        <v>2000</v>
      </c>
      <c r="R147" s="23">
        <v>2000</v>
      </c>
      <c r="S147" s="23">
        <v>2000</v>
      </c>
      <c r="T147" s="23">
        <v>2000</v>
      </c>
      <c r="U147" s="23">
        <v>3780</v>
      </c>
      <c r="V147" s="7" t="s">
        <v>602</v>
      </c>
      <c r="W147" s="23">
        <f t="shared" si="17"/>
        <v>0</v>
      </c>
      <c r="X147" s="79"/>
      <c r="Y147" s="7"/>
      <c r="Z147" s="7"/>
      <c r="AA147" s="23"/>
      <c r="AB147" s="23"/>
      <c r="AC147" s="82"/>
      <c r="AD147" s="23"/>
      <c r="AE147" s="7" t="s">
        <v>413</v>
      </c>
    </row>
    <row r="148" spans="1:34" x14ac:dyDescent="0.2">
      <c r="A148" s="144" t="s">
        <v>124</v>
      </c>
      <c r="B148" s="9" t="s">
        <v>495</v>
      </c>
      <c r="C148" s="9">
        <v>0</v>
      </c>
      <c r="D148" s="9">
        <v>0</v>
      </c>
      <c r="E148" s="9"/>
      <c r="F148" s="9">
        <v>0</v>
      </c>
      <c r="G148" s="4">
        <v>23785</v>
      </c>
      <c r="H148" s="4">
        <f t="shared" si="15"/>
        <v>23785</v>
      </c>
      <c r="I148" s="24">
        <f t="shared" si="16"/>
        <v>1</v>
      </c>
      <c r="J148" s="23">
        <v>1500</v>
      </c>
      <c r="K148" s="23">
        <v>1500</v>
      </c>
      <c r="L148" s="23">
        <v>1500</v>
      </c>
      <c r="M148" s="23">
        <v>1800</v>
      </c>
      <c r="N148" s="23">
        <v>1800</v>
      </c>
      <c r="O148" s="23">
        <v>1800</v>
      </c>
      <c r="P148" s="23">
        <v>1800</v>
      </c>
      <c r="Q148" s="23">
        <v>1800</v>
      </c>
      <c r="R148" s="23">
        <v>2000</v>
      </c>
      <c r="S148" s="23">
        <v>2000</v>
      </c>
      <c r="T148" s="23">
        <v>2000</v>
      </c>
      <c r="U148" s="23">
        <v>4285</v>
      </c>
      <c r="V148" s="7" t="s">
        <v>603</v>
      </c>
      <c r="W148" s="23">
        <f t="shared" si="17"/>
        <v>0</v>
      </c>
      <c r="X148" s="79"/>
      <c r="Y148" s="7"/>
      <c r="Z148" s="7"/>
      <c r="AA148" s="23"/>
      <c r="AB148" s="23"/>
      <c r="AC148" s="82"/>
      <c r="AD148" s="23"/>
      <c r="AE148" s="7" t="s">
        <v>414</v>
      </c>
    </row>
    <row r="149" spans="1:34" x14ac:dyDescent="0.2">
      <c r="A149" s="144" t="s">
        <v>125</v>
      </c>
      <c r="B149" s="9" t="s">
        <v>495</v>
      </c>
      <c r="C149" s="9" t="s">
        <v>495</v>
      </c>
      <c r="D149" s="9" t="s">
        <v>495</v>
      </c>
      <c r="E149" s="9"/>
      <c r="F149" s="9" t="s">
        <v>495</v>
      </c>
      <c r="G149" s="4">
        <v>69035</v>
      </c>
      <c r="H149" s="4">
        <f t="shared" si="15"/>
        <v>46000</v>
      </c>
      <c r="I149" s="24">
        <f t="shared" si="16"/>
        <v>0.6663</v>
      </c>
      <c r="J149" s="23">
        <v>3000</v>
      </c>
      <c r="K149" s="23">
        <v>3000</v>
      </c>
      <c r="L149" s="23">
        <v>3000</v>
      </c>
      <c r="M149" s="23">
        <v>3000</v>
      </c>
      <c r="N149" s="23">
        <v>4500</v>
      </c>
      <c r="O149" s="23">
        <v>3000</v>
      </c>
      <c r="P149" s="23">
        <v>5500</v>
      </c>
      <c r="Q149" s="23">
        <v>3000</v>
      </c>
      <c r="R149" s="23">
        <v>3000</v>
      </c>
      <c r="S149" s="23">
        <v>6000</v>
      </c>
      <c r="T149" s="23">
        <v>3000</v>
      </c>
      <c r="U149" s="23">
        <v>3000</v>
      </c>
      <c r="V149" s="7" t="s">
        <v>604</v>
      </c>
      <c r="W149" s="23">
        <f t="shared" si="17"/>
        <v>23035</v>
      </c>
      <c r="X149" s="79"/>
      <c r="Y149" s="7"/>
      <c r="Z149" s="7"/>
      <c r="AA149" s="23"/>
      <c r="AB149" s="175">
        <v>3000</v>
      </c>
      <c r="AC149" s="82"/>
      <c r="AD149" s="23"/>
      <c r="AE149" s="7" t="s">
        <v>415</v>
      </c>
    </row>
    <row r="150" spans="1:34" x14ac:dyDescent="0.2">
      <c r="A150" s="144" t="s">
        <v>126</v>
      </c>
      <c r="B150" s="9" t="s">
        <v>495</v>
      </c>
      <c r="C150" s="9" t="s">
        <v>495</v>
      </c>
      <c r="D150" s="9">
        <v>0</v>
      </c>
      <c r="E150" s="9"/>
      <c r="F150" s="9">
        <v>0</v>
      </c>
      <c r="G150" s="4">
        <v>28395</v>
      </c>
      <c r="H150" s="4">
        <f t="shared" si="15"/>
        <v>18000</v>
      </c>
      <c r="I150" s="24">
        <f t="shared" si="16"/>
        <v>0.63390000000000002</v>
      </c>
      <c r="J150" s="23">
        <v>0</v>
      </c>
      <c r="K150" s="23">
        <v>6000</v>
      </c>
      <c r="L150" s="23"/>
      <c r="M150" s="23">
        <v>3000</v>
      </c>
      <c r="N150" s="23"/>
      <c r="O150" s="23">
        <v>3000</v>
      </c>
      <c r="P150" s="23"/>
      <c r="Q150" s="23"/>
      <c r="R150" s="23"/>
      <c r="S150" s="23">
        <v>3000</v>
      </c>
      <c r="T150" s="23">
        <v>3000</v>
      </c>
      <c r="U150" s="23"/>
      <c r="V150" s="7" t="s">
        <v>605</v>
      </c>
      <c r="W150" s="23">
        <f t="shared" si="17"/>
        <v>10395</v>
      </c>
      <c r="X150" s="79"/>
      <c r="Y150" s="7"/>
      <c r="Z150" s="7"/>
      <c r="AA150" s="23"/>
      <c r="AB150" s="23"/>
      <c r="AC150" s="82"/>
      <c r="AD150" s="23"/>
      <c r="AE150" s="7" t="s">
        <v>411</v>
      </c>
    </row>
    <row r="151" spans="1:34" x14ac:dyDescent="0.2">
      <c r="A151" s="144" t="s">
        <v>127</v>
      </c>
      <c r="B151" s="9">
        <v>0</v>
      </c>
      <c r="C151" s="9" t="s">
        <v>495</v>
      </c>
      <c r="D151" s="9" t="s">
        <v>495</v>
      </c>
      <c r="E151" s="9"/>
      <c r="F151" s="9" t="s">
        <v>495</v>
      </c>
      <c r="G151" s="4">
        <v>28505</v>
      </c>
      <c r="H151" s="4">
        <f t="shared" si="15"/>
        <v>4600</v>
      </c>
      <c r="I151" s="24">
        <f t="shared" si="16"/>
        <v>0.16139999999999999</v>
      </c>
      <c r="J151" s="23">
        <v>2300</v>
      </c>
      <c r="K151" s="23"/>
      <c r="L151" s="23">
        <v>2300</v>
      </c>
      <c r="M151" s="23">
        <v>0</v>
      </c>
      <c r="N151" s="23"/>
      <c r="O151" s="23"/>
      <c r="P151" s="23"/>
      <c r="Q151" s="23"/>
      <c r="R151" s="23"/>
      <c r="S151" s="23"/>
      <c r="T151" s="23"/>
      <c r="U151" s="23"/>
      <c r="V151" s="7" t="s">
        <v>606</v>
      </c>
      <c r="W151" s="23">
        <f t="shared" si="17"/>
        <v>23905</v>
      </c>
      <c r="X151" s="79"/>
      <c r="Y151" s="7"/>
      <c r="Z151" s="7"/>
      <c r="AA151" s="23"/>
      <c r="AB151" s="23"/>
      <c r="AC151" s="82"/>
      <c r="AD151" s="23"/>
      <c r="AE151" s="7" t="s">
        <v>416</v>
      </c>
    </row>
    <row r="152" spans="1:34" x14ac:dyDescent="0.2">
      <c r="A152" s="144" t="s">
        <v>128</v>
      </c>
      <c r="B152" s="9" t="s">
        <v>495</v>
      </c>
      <c r="C152" s="9" t="s">
        <v>495</v>
      </c>
      <c r="D152" s="9" t="s">
        <v>495</v>
      </c>
      <c r="E152" s="9"/>
      <c r="F152" s="9">
        <v>0</v>
      </c>
      <c r="G152" s="4">
        <v>65787</v>
      </c>
      <c r="H152" s="4">
        <f t="shared" si="15"/>
        <v>32814</v>
      </c>
      <c r="I152" s="24">
        <f t="shared" si="16"/>
        <v>0.49880000000000002</v>
      </c>
      <c r="J152" s="23">
        <v>0</v>
      </c>
      <c r="K152" s="23">
        <v>3800</v>
      </c>
      <c r="L152" s="23">
        <v>3300</v>
      </c>
      <c r="M152" s="23"/>
      <c r="N152" s="23">
        <v>4000</v>
      </c>
      <c r="O152" s="23">
        <v>3300</v>
      </c>
      <c r="P152" s="23">
        <v>3000</v>
      </c>
      <c r="Q152" s="23">
        <v>3280</v>
      </c>
      <c r="R152" s="23"/>
      <c r="S152" s="23">
        <v>3607</v>
      </c>
      <c r="T152" s="23">
        <v>2900</v>
      </c>
      <c r="U152" s="23">
        <v>5627</v>
      </c>
      <c r="V152" s="7" t="s">
        <v>607</v>
      </c>
      <c r="W152" s="23">
        <f t="shared" si="17"/>
        <v>32973</v>
      </c>
      <c r="X152" s="79"/>
      <c r="Y152" s="7"/>
      <c r="Z152" s="7"/>
      <c r="AA152" s="23"/>
      <c r="AB152" s="23"/>
      <c r="AC152" s="82"/>
      <c r="AD152" s="23"/>
      <c r="AE152" s="7" t="s">
        <v>417</v>
      </c>
    </row>
    <row r="153" spans="1:34" x14ac:dyDescent="0.2">
      <c r="A153" s="144" t="s">
        <v>129</v>
      </c>
      <c r="B153" s="9" t="s">
        <v>495</v>
      </c>
      <c r="C153" s="9" t="s">
        <v>495</v>
      </c>
      <c r="D153" s="9" t="s">
        <v>495</v>
      </c>
      <c r="E153" s="9"/>
      <c r="F153" s="9" t="s">
        <v>495</v>
      </c>
      <c r="G153" s="4">
        <v>6000</v>
      </c>
      <c r="H153" s="4">
        <f t="shared" si="15"/>
        <v>6000</v>
      </c>
      <c r="I153" s="24">
        <f t="shared" si="16"/>
        <v>1</v>
      </c>
      <c r="J153" s="23">
        <v>650</v>
      </c>
      <c r="K153" s="23">
        <v>650</v>
      </c>
      <c r="L153" s="23">
        <v>650</v>
      </c>
      <c r="M153" s="23">
        <v>650</v>
      </c>
      <c r="N153" s="23">
        <v>650</v>
      </c>
      <c r="O153" s="23">
        <v>650</v>
      </c>
      <c r="P153" s="23">
        <v>650</v>
      </c>
      <c r="Q153" s="23">
        <v>650</v>
      </c>
      <c r="R153" s="23">
        <v>200</v>
      </c>
      <c r="S153" s="23">
        <v>200</v>
      </c>
      <c r="T153" s="23">
        <v>200</v>
      </c>
      <c r="U153" s="23">
        <v>200</v>
      </c>
      <c r="V153" s="7" t="s">
        <v>608</v>
      </c>
      <c r="W153" s="23">
        <f t="shared" si="17"/>
        <v>0</v>
      </c>
      <c r="X153" s="79"/>
      <c r="Y153" s="7"/>
      <c r="Z153" s="7"/>
      <c r="AA153" s="23"/>
      <c r="AB153" s="23"/>
      <c r="AC153" s="82"/>
      <c r="AD153" s="23"/>
      <c r="AE153" s="7" t="s">
        <v>413</v>
      </c>
    </row>
    <row r="154" spans="1:34" x14ac:dyDescent="0.2">
      <c r="A154" s="144" t="s">
        <v>130</v>
      </c>
      <c r="B154" s="9" t="s">
        <v>495</v>
      </c>
      <c r="C154" s="9" t="s">
        <v>495</v>
      </c>
      <c r="D154" s="9" t="s">
        <v>495</v>
      </c>
      <c r="E154" s="9"/>
      <c r="F154" s="9">
        <v>0</v>
      </c>
      <c r="G154" s="4">
        <v>64599</v>
      </c>
      <c r="H154" s="4">
        <f t="shared" si="15"/>
        <v>30000</v>
      </c>
      <c r="I154" s="24">
        <f t="shared" si="16"/>
        <v>0.46439999999999998</v>
      </c>
      <c r="J154" s="23">
        <v>2500</v>
      </c>
      <c r="K154" s="23">
        <v>2500</v>
      </c>
      <c r="L154" s="23">
        <v>2500</v>
      </c>
      <c r="M154" s="23">
        <v>2500</v>
      </c>
      <c r="N154" s="23">
        <v>2500</v>
      </c>
      <c r="O154" s="23">
        <v>2500</v>
      </c>
      <c r="P154" s="23">
        <v>2500</v>
      </c>
      <c r="Q154" s="23">
        <v>2500</v>
      </c>
      <c r="R154" s="23">
        <v>2500</v>
      </c>
      <c r="S154" s="23">
        <v>2500</v>
      </c>
      <c r="T154" s="23">
        <v>2500</v>
      </c>
      <c r="U154" s="23">
        <v>2500</v>
      </c>
      <c r="V154" s="7" t="s">
        <v>609</v>
      </c>
      <c r="W154" s="23">
        <f t="shared" si="17"/>
        <v>34599</v>
      </c>
      <c r="X154" s="79"/>
      <c r="Y154" s="7"/>
      <c r="Z154" s="7"/>
      <c r="AA154" s="82"/>
      <c r="AB154" s="82"/>
      <c r="AC154" s="82"/>
      <c r="AD154" s="23"/>
      <c r="AE154" s="7" t="s">
        <v>418</v>
      </c>
    </row>
    <row r="155" spans="1:34" x14ac:dyDescent="0.2">
      <c r="A155" s="144" t="s">
        <v>376</v>
      </c>
      <c r="B155" s="9" t="s">
        <v>495</v>
      </c>
      <c r="C155" s="9" t="s">
        <v>495</v>
      </c>
      <c r="D155" s="9" t="s">
        <v>495</v>
      </c>
      <c r="E155" s="9"/>
      <c r="F155" s="9">
        <v>0</v>
      </c>
      <c r="G155" s="4">
        <v>21841</v>
      </c>
      <c r="H155" s="4">
        <f t="shared" si="15"/>
        <v>6000</v>
      </c>
      <c r="I155" s="24">
        <f t="shared" si="16"/>
        <v>0.2747</v>
      </c>
      <c r="J155" s="23">
        <v>350</v>
      </c>
      <c r="K155" s="23"/>
      <c r="L155" s="23">
        <v>700</v>
      </c>
      <c r="M155" s="23">
        <v>350</v>
      </c>
      <c r="N155" s="23"/>
      <c r="O155" s="23">
        <v>700</v>
      </c>
      <c r="P155" s="23">
        <v>350</v>
      </c>
      <c r="Q155" s="23"/>
      <c r="R155" s="23">
        <v>700</v>
      </c>
      <c r="S155" s="23"/>
      <c r="T155" s="23">
        <v>700</v>
      </c>
      <c r="U155" s="23">
        <v>2150</v>
      </c>
      <c r="V155" s="7" t="s">
        <v>377</v>
      </c>
      <c r="W155" s="23">
        <f t="shared" si="17"/>
        <v>15841</v>
      </c>
      <c r="X155" s="79"/>
      <c r="Y155" s="7"/>
      <c r="Z155" s="7"/>
      <c r="AA155" s="82"/>
      <c r="AB155" s="82"/>
      <c r="AC155" s="82"/>
      <c r="AD155" s="23"/>
      <c r="AE155" s="7" t="s">
        <v>1131</v>
      </c>
      <c r="AF155" t="s">
        <v>408</v>
      </c>
    </row>
    <row r="156" spans="1:34" x14ac:dyDescent="0.2">
      <c r="W156" s="3"/>
    </row>
    <row r="157" spans="1:34" x14ac:dyDescent="0.2">
      <c r="A157" t="s">
        <v>6</v>
      </c>
      <c r="G157" s="17">
        <f>SUM(G129:G156)</f>
        <v>1509283.75</v>
      </c>
      <c r="H157" s="11">
        <f t="shared" ref="H157:U157" si="18">SUM(H129:H156)</f>
        <v>1137089.3600000001</v>
      </c>
      <c r="I157" s="4"/>
      <c r="J157" s="4">
        <f t="shared" si="18"/>
        <v>70552.06</v>
      </c>
      <c r="K157" s="4">
        <f t="shared" si="18"/>
        <v>81562.899999999994</v>
      </c>
      <c r="L157" s="4">
        <f t="shared" si="18"/>
        <v>97443.900000000009</v>
      </c>
      <c r="M157" s="4">
        <f t="shared" si="18"/>
        <v>74727.489999999991</v>
      </c>
      <c r="N157" s="4">
        <f t="shared" si="18"/>
        <v>91784.989999999991</v>
      </c>
      <c r="O157" s="4">
        <f t="shared" si="18"/>
        <v>143894.35999999999</v>
      </c>
      <c r="P157" s="4">
        <f t="shared" si="18"/>
        <v>76114.11</v>
      </c>
      <c r="Q157" s="4">
        <f t="shared" si="18"/>
        <v>99194.11</v>
      </c>
      <c r="R157" s="4">
        <f t="shared" si="18"/>
        <v>71114.11</v>
      </c>
      <c r="S157" s="4">
        <f t="shared" si="18"/>
        <v>79146.11</v>
      </c>
      <c r="T157" s="4">
        <f t="shared" si="18"/>
        <v>83239.11</v>
      </c>
      <c r="U157" s="4">
        <f t="shared" si="18"/>
        <v>139316.10999999999</v>
      </c>
      <c r="V157" s="77"/>
      <c r="W157" s="3">
        <f>G157-H157</f>
        <v>372194.3899999999</v>
      </c>
      <c r="X157" s="4"/>
      <c r="Y157" s="4"/>
      <c r="Z157" s="4"/>
      <c r="AA157" s="83">
        <f>SUM(AA129:AA156)</f>
        <v>26000</v>
      </c>
      <c r="AB157" s="83">
        <f t="shared" ref="AB157:AC157" si="19">SUM(AB129:AB156)</f>
        <v>3000</v>
      </c>
      <c r="AC157" s="83">
        <f t="shared" si="19"/>
        <v>0</v>
      </c>
      <c r="AH157" s="4">
        <f>ROUND(SUM(J157:U157),0)</f>
        <v>1108089</v>
      </c>
    </row>
    <row r="158" spans="1:34" x14ac:dyDescent="0.2">
      <c r="W158" s="3"/>
    </row>
    <row r="159" spans="1:34" x14ac:dyDescent="0.2">
      <c r="W159" s="3"/>
    </row>
    <row r="160" spans="1:34" ht="15.75" x14ac:dyDescent="0.25">
      <c r="G160" s="150" t="s">
        <v>10</v>
      </c>
      <c r="W160" s="3"/>
    </row>
    <row r="161" spans="1:31" x14ac:dyDescent="0.2">
      <c r="W161" s="3"/>
    </row>
    <row r="162" spans="1:31" ht="16.5" x14ac:dyDescent="0.25">
      <c r="B162" s="8"/>
      <c r="C162" s="8"/>
      <c r="E162" s="8"/>
      <c r="F162" s="8"/>
      <c r="G162" s="20" t="str">
        <f>$G$3</f>
        <v>2020 PARISH SHARE INFORMATION</v>
      </c>
      <c r="H162" s="14"/>
      <c r="W162" s="3"/>
    </row>
    <row r="163" spans="1:31" x14ac:dyDescent="0.2">
      <c r="G163" s="19"/>
      <c r="H163" s="13"/>
      <c r="W163" s="3"/>
    </row>
    <row r="164" spans="1:31" ht="16.5" x14ac:dyDescent="0.25">
      <c r="A164" s="1" t="s">
        <v>1</v>
      </c>
      <c r="B164" s="151" t="str">
        <f>$B$5</f>
        <v>RM</v>
      </c>
      <c r="C164" s="151" t="str">
        <f>$C$5</f>
        <v>RF</v>
      </c>
      <c r="D164" s="151" t="str">
        <f>$D$5</f>
        <v>Accts</v>
      </c>
      <c r="E164" s="151"/>
      <c r="F164" s="151" t="str">
        <f>$F$5</f>
        <v>Share DD</v>
      </c>
      <c r="G164" s="153" t="str">
        <f>$G$5</f>
        <v xml:space="preserve">2020 Share </v>
      </c>
      <c r="H164" s="154" t="str">
        <f>$H$5</f>
        <v xml:space="preserve">2020 Paid </v>
      </c>
      <c r="I164" s="154" t="str">
        <f>$I$5</f>
        <v xml:space="preserve">% Paid </v>
      </c>
      <c r="J164" s="155">
        <f>$J$5</f>
        <v>43861</v>
      </c>
      <c r="K164" s="155">
        <f>$K$5</f>
        <v>43890</v>
      </c>
      <c r="L164" s="155">
        <f>$L$5</f>
        <v>43921</v>
      </c>
      <c r="M164" s="155">
        <f>$M$5</f>
        <v>43951</v>
      </c>
      <c r="N164" s="155">
        <f>$N$5</f>
        <v>43982</v>
      </c>
      <c r="O164" s="155">
        <f>$O$5</f>
        <v>44012</v>
      </c>
      <c r="P164" s="155">
        <f>$P$5</f>
        <v>44043</v>
      </c>
      <c r="Q164" s="155">
        <f>$Q$5</f>
        <v>44074</v>
      </c>
      <c r="R164" s="155">
        <f>$R$5</f>
        <v>44104</v>
      </c>
      <c r="S164" s="155">
        <f>$S$5</f>
        <v>44135</v>
      </c>
      <c r="T164" s="155">
        <f>$T$5</f>
        <v>44165</v>
      </c>
      <c r="U164" s="155">
        <f>$U$5</f>
        <v>44196</v>
      </c>
      <c r="V164" s="78"/>
      <c r="W164" s="157" t="str">
        <f>$W$5</f>
        <v xml:space="preserve">Outstanding </v>
      </c>
      <c r="X164" s="2"/>
      <c r="Y164" s="2"/>
      <c r="Z164" s="2"/>
      <c r="AA164" s="173">
        <v>44197</v>
      </c>
      <c r="AB164" s="173">
        <v>44228</v>
      </c>
      <c r="AC164" s="173">
        <v>44256</v>
      </c>
      <c r="AE164" s="152" t="str">
        <f>$AE$5</f>
        <v>Benefice</v>
      </c>
    </row>
    <row r="165" spans="1:31" ht="16.5" x14ac:dyDescent="0.25">
      <c r="G165" s="146" t="s">
        <v>1040</v>
      </c>
      <c r="H165" s="147" t="s">
        <v>1040</v>
      </c>
      <c r="I165" s="148"/>
      <c r="J165" s="147" t="s">
        <v>1040</v>
      </c>
      <c r="K165" s="147" t="s">
        <v>1040</v>
      </c>
      <c r="L165" s="147" t="s">
        <v>1040</v>
      </c>
      <c r="M165" s="147" t="s">
        <v>1040</v>
      </c>
      <c r="N165" s="147" t="s">
        <v>1040</v>
      </c>
      <c r="O165" s="147" t="s">
        <v>1040</v>
      </c>
      <c r="P165" s="147" t="s">
        <v>1040</v>
      </c>
      <c r="Q165" s="147" t="s">
        <v>1040</v>
      </c>
      <c r="R165" s="147" t="s">
        <v>1040</v>
      </c>
      <c r="S165" s="147" t="s">
        <v>1040</v>
      </c>
      <c r="T165" s="147" t="s">
        <v>1040</v>
      </c>
      <c r="U165" s="147" t="s">
        <v>1040</v>
      </c>
      <c r="W165" s="3"/>
      <c r="AA165" s="174" t="s">
        <v>1040</v>
      </c>
      <c r="AB165" s="174" t="s">
        <v>1040</v>
      </c>
      <c r="AC165" s="174" t="s">
        <v>1040</v>
      </c>
    </row>
    <row r="166" spans="1:31" x14ac:dyDescent="0.2">
      <c r="W166" s="3"/>
    </row>
    <row r="167" spans="1:31" x14ac:dyDescent="0.2">
      <c r="A167" s="141" t="s">
        <v>131</v>
      </c>
      <c r="B167" s="9" t="s">
        <v>495</v>
      </c>
      <c r="C167" s="9">
        <v>0</v>
      </c>
      <c r="D167" s="9" t="s">
        <v>495</v>
      </c>
      <c r="E167" s="9"/>
      <c r="F167" s="9">
        <v>0</v>
      </c>
      <c r="G167" s="4">
        <v>7811</v>
      </c>
      <c r="H167" s="4">
        <f t="shared" ref="H167:H210" si="20">SUM(J167:U167)+SUM(AA167:AC167)</f>
        <v>3818</v>
      </c>
      <c r="I167" s="24">
        <f t="shared" ref="I167:I210" si="21">ROUND((H167/G167),4)</f>
        <v>0.48880000000000001</v>
      </c>
      <c r="J167" s="23">
        <v>225</v>
      </c>
      <c r="K167" s="23">
        <v>225</v>
      </c>
      <c r="L167" s="23">
        <v>225</v>
      </c>
      <c r="M167" s="23">
        <v>225</v>
      </c>
      <c r="N167" s="23">
        <v>225</v>
      </c>
      <c r="O167" s="23">
        <v>225</v>
      </c>
      <c r="P167" s="23">
        <v>225</v>
      </c>
      <c r="Q167" s="23">
        <v>225</v>
      </c>
      <c r="R167" s="23">
        <v>225</v>
      </c>
      <c r="S167" s="23">
        <v>225</v>
      </c>
      <c r="T167" s="23">
        <v>225</v>
      </c>
      <c r="U167" s="23">
        <v>1343</v>
      </c>
      <c r="V167" s="7" t="s">
        <v>610</v>
      </c>
      <c r="W167" s="23">
        <f t="shared" ref="W167:W210" si="22">G167-H167</f>
        <v>3993</v>
      </c>
      <c r="X167" s="4"/>
      <c r="Y167" s="4"/>
      <c r="Z167" s="4"/>
      <c r="AA167" s="82"/>
      <c r="AB167" s="82"/>
      <c r="AC167" s="82"/>
      <c r="AD167" s="23"/>
      <c r="AE167" s="7" t="s">
        <v>419</v>
      </c>
    </row>
    <row r="168" spans="1:31" ht="15.95" customHeight="1" x14ac:dyDescent="0.2">
      <c r="A168" s="141" t="s">
        <v>132</v>
      </c>
      <c r="B168" s="9">
        <v>0</v>
      </c>
      <c r="C168" s="9">
        <v>0</v>
      </c>
      <c r="D168" s="9">
        <v>0</v>
      </c>
      <c r="E168" s="9"/>
      <c r="F168" s="9">
        <v>0</v>
      </c>
      <c r="G168" s="4">
        <v>0</v>
      </c>
      <c r="H168" s="4">
        <f t="shared" si="20"/>
        <v>0</v>
      </c>
      <c r="I168" s="24" t="e">
        <f t="shared" si="21"/>
        <v>#DIV/0!</v>
      </c>
      <c r="J168" s="23">
        <v>0</v>
      </c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7" t="s">
        <v>611</v>
      </c>
      <c r="W168" s="23">
        <f t="shared" si="22"/>
        <v>0</v>
      </c>
      <c r="X168" s="7"/>
      <c r="Y168" s="7"/>
      <c r="Z168" s="7"/>
      <c r="AA168" s="82"/>
      <c r="AB168" s="82"/>
      <c r="AC168" s="82"/>
      <c r="AD168" s="23"/>
      <c r="AE168" s="7" t="s">
        <v>419</v>
      </c>
    </row>
    <row r="169" spans="1:31" x14ac:dyDescent="0.2">
      <c r="A169" s="141" t="s">
        <v>133</v>
      </c>
      <c r="B169" s="9" t="s">
        <v>495</v>
      </c>
      <c r="C169" s="9">
        <v>0</v>
      </c>
      <c r="D169" s="9">
        <v>0</v>
      </c>
      <c r="E169" s="9"/>
      <c r="F169" s="9">
        <v>0</v>
      </c>
      <c r="G169" s="4">
        <v>8329</v>
      </c>
      <c r="H169" s="4">
        <f t="shared" si="20"/>
        <v>8329</v>
      </c>
      <c r="I169" s="24">
        <f t="shared" si="21"/>
        <v>1</v>
      </c>
      <c r="J169" s="23">
        <v>207</v>
      </c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>
        <v>8122</v>
      </c>
      <c r="V169" s="7" t="s">
        <v>612</v>
      </c>
      <c r="W169" s="23">
        <f t="shared" si="22"/>
        <v>0</v>
      </c>
      <c r="X169" s="7"/>
      <c r="Y169" s="7"/>
      <c r="Z169" s="7"/>
      <c r="AA169" s="82"/>
      <c r="AB169" s="82"/>
      <c r="AC169" s="82"/>
      <c r="AD169" s="23"/>
      <c r="AE169" s="7" t="s">
        <v>419</v>
      </c>
    </row>
    <row r="170" spans="1:31" x14ac:dyDescent="0.2">
      <c r="A170" s="141" t="s">
        <v>134</v>
      </c>
      <c r="B170" s="9" t="s">
        <v>495</v>
      </c>
      <c r="C170" s="9" t="s">
        <v>495</v>
      </c>
      <c r="D170" s="9" t="s">
        <v>495</v>
      </c>
      <c r="E170" s="9"/>
      <c r="F170" s="9" t="s">
        <v>495</v>
      </c>
      <c r="G170" s="4">
        <v>7861</v>
      </c>
      <c r="H170" s="4">
        <f t="shared" si="20"/>
        <v>7685.0000000000018</v>
      </c>
      <c r="I170" s="24">
        <f t="shared" si="21"/>
        <v>0.97760000000000002</v>
      </c>
      <c r="J170" s="23">
        <v>577.80999999999995</v>
      </c>
      <c r="K170" s="23">
        <v>646.19000000000005</v>
      </c>
      <c r="L170" s="23">
        <v>646.1</v>
      </c>
      <c r="M170" s="23">
        <v>646.1</v>
      </c>
      <c r="N170" s="23">
        <v>646.1</v>
      </c>
      <c r="O170" s="23">
        <v>646.1</v>
      </c>
      <c r="P170" s="23">
        <v>646.1</v>
      </c>
      <c r="Q170" s="23">
        <v>646.1</v>
      </c>
      <c r="R170" s="23">
        <v>646.1</v>
      </c>
      <c r="S170" s="23">
        <v>646.1</v>
      </c>
      <c r="T170" s="23">
        <v>646.1</v>
      </c>
      <c r="U170" s="23">
        <v>646.1</v>
      </c>
      <c r="V170" s="7" t="s">
        <v>613</v>
      </c>
      <c r="W170" s="23">
        <f t="shared" si="22"/>
        <v>175.99999999999818</v>
      </c>
      <c r="X170" s="7"/>
      <c r="Y170" s="7"/>
      <c r="Z170" s="7"/>
      <c r="AA170" s="82"/>
      <c r="AB170" s="82"/>
      <c r="AC170" s="82"/>
      <c r="AD170" s="23"/>
      <c r="AE170" s="7" t="s">
        <v>419</v>
      </c>
    </row>
    <row r="171" spans="1:31" x14ac:dyDescent="0.2">
      <c r="A171" s="141" t="s">
        <v>135</v>
      </c>
      <c r="B171" s="9" t="s">
        <v>495</v>
      </c>
      <c r="C171" s="9" t="s">
        <v>495</v>
      </c>
      <c r="D171" s="9" t="s">
        <v>495</v>
      </c>
      <c r="E171" s="9"/>
      <c r="F171" s="9">
        <v>0</v>
      </c>
      <c r="G171" s="4">
        <v>18413</v>
      </c>
      <c r="H171" s="4">
        <f t="shared" si="20"/>
        <v>18002</v>
      </c>
      <c r="I171" s="24">
        <f t="shared" si="21"/>
        <v>0.97770000000000001</v>
      </c>
      <c r="J171" s="23">
        <v>0</v>
      </c>
      <c r="K171" s="23"/>
      <c r="L171" s="23"/>
      <c r="M171" s="23"/>
      <c r="N171" s="23"/>
      <c r="O171" s="23">
        <v>9002</v>
      </c>
      <c r="P171" s="23">
        <v>1500</v>
      </c>
      <c r="Q171" s="23"/>
      <c r="R171" s="23">
        <v>3000</v>
      </c>
      <c r="S171" s="23">
        <v>1500</v>
      </c>
      <c r="T171" s="23">
        <v>1500</v>
      </c>
      <c r="U171" s="23">
        <v>1500</v>
      </c>
      <c r="V171" s="7" t="s">
        <v>614</v>
      </c>
      <c r="W171" s="23">
        <f t="shared" si="22"/>
        <v>411</v>
      </c>
      <c r="X171" s="7"/>
      <c r="Y171" s="7"/>
      <c r="Z171" s="7"/>
      <c r="AA171" s="82"/>
      <c r="AB171" s="82"/>
      <c r="AC171" s="82"/>
      <c r="AD171" s="23"/>
      <c r="AE171" s="7" t="s">
        <v>419</v>
      </c>
    </row>
    <row r="172" spans="1:31" x14ac:dyDescent="0.2">
      <c r="A172" s="141" t="s">
        <v>136</v>
      </c>
      <c r="B172" s="9" t="s">
        <v>495</v>
      </c>
      <c r="C172" s="9" t="s">
        <v>495</v>
      </c>
      <c r="D172" s="9">
        <v>0</v>
      </c>
      <c r="E172" s="9"/>
      <c r="F172" s="9">
        <v>0</v>
      </c>
      <c r="G172" s="4">
        <v>53996</v>
      </c>
      <c r="H172" s="4">
        <f t="shared" si="20"/>
        <v>30000</v>
      </c>
      <c r="I172" s="24">
        <f t="shared" si="21"/>
        <v>0.55559999999999998</v>
      </c>
      <c r="J172" s="23">
        <v>0</v>
      </c>
      <c r="K172" s="23">
        <v>2500</v>
      </c>
      <c r="L172" s="23"/>
      <c r="M172" s="23"/>
      <c r="N172" s="23"/>
      <c r="O172" s="23">
        <v>2000</v>
      </c>
      <c r="P172" s="23">
        <v>6000</v>
      </c>
      <c r="Q172" s="23"/>
      <c r="R172" s="23"/>
      <c r="S172" s="23">
        <v>6000</v>
      </c>
      <c r="T172" s="23">
        <v>10000</v>
      </c>
      <c r="U172" s="23">
        <v>3500</v>
      </c>
      <c r="V172" s="7" t="s">
        <v>615</v>
      </c>
      <c r="W172" s="23">
        <f t="shared" si="22"/>
        <v>23996</v>
      </c>
      <c r="X172" s="7"/>
      <c r="Y172" s="7"/>
      <c r="Z172" s="7"/>
      <c r="AA172" s="82"/>
      <c r="AB172" s="82"/>
      <c r="AC172" s="82"/>
      <c r="AD172" s="23"/>
      <c r="AE172" s="7" t="s">
        <v>420</v>
      </c>
    </row>
    <row r="173" spans="1:31" x14ac:dyDescent="0.2">
      <c r="A173" s="141" t="s">
        <v>137</v>
      </c>
      <c r="B173" s="9" t="s">
        <v>495</v>
      </c>
      <c r="C173" s="9" t="s">
        <v>495</v>
      </c>
      <c r="D173" s="9" t="s">
        <v>495</v>
      </c>
      <c r="E173" s="9"/>
      <c r="F173" s="9" t="s">
        <v>495</v>
      </c>
      <c r="G173" s="4">
        <v>13500</v>
      </c>
      <c r="H173" s="4">
        <f t="shared" si="20"/>
        <v>13500</v>
      </c>
      <c r="I173" s="24">
        <f t="shared" si="21"/>
        <v>1</v>
      </c>
      <c r="J173" s="23">
        <v>1000</v>
      </c>
      <c r="K173" s="23">
        <v>1000</v>
      </c>
      <c r="L173" s="23">
        <v>1000</v>
      </c>
      <c r="M173" s="23">
        <v>1000</v>
      </c>
      <c r="N173" s="23">
        <v>1000</v>
      </c>
      <c r="O173" s="23">
        <v>1000</v>
      </c>
      <c r="P173" s="23">
        <v>1000</v>
      </c>
      <c r="Q173" s="23">
        <v>1000</v>
      </c>
      <c r="R173" s="23">
        <v>1000</v>
      </c>
      <c r="S173" s="23">
        <v>1000</v>
      </c>
      <c r="T173" s="23">
        <v>1000</v>
      </c>
      <c r="U173" s="23">
        <v>2500</v>
      </c>
      <c r="V173" s="7" t="s">
        <v>616</v>
      </c>
      <c r="W173" s="23">
        <f t="shared" si="22"/>
        <v>0</v>
      </c>
      <c r="X173" s="7"/>
      <c r="Y173" s="7"/>
      <c r="Z173" s="7"/>
      <c r="AA173" s="82"/>
      <c r="AB173" s="82"/>
      <c r="AC173" s="82"/>
      <c r="AD173" s="23"/>
      <c r="AE173" s="7" t="s">
        <v>420</v>
      </c>
    </row>
    <row r="174" spans="1:31" x14ac:dyDescent="0.2">
      <c r="A174" s="141" t="s">
        <v>138</v>
      </c>
      <c r="B174" s="9">
        <v>0</v>
      </c>
      <c r="C174" s="9" t="s">
        <v>495</v>
      </c>
      <c r="D174" s="9" t="s">
        <v>495</v>
      </c>
      <c r="E174" s="9"/>
      <c r="F174" s="9">
        <v>0</v>
      </c>
      <c r="G174" s="4">
        <v>8956</v>
      </c>
      <c r="H174" s="4">
        <f t="shared" si="20"/>
        <v>8956</v>
      </c>
      <c r="I174" s="24">
        <f t="shared" si="21"/>
        <v>1</v>
      </c>
      <c r="J174" s="23">
        <v>0</v>
      </c>
      <c r="K174" s="23">
        <v>2239</v>
      </c>
      <c r="L174" s="23"/>
      <c r="M174" s="23"/>
      <c r="N174" s="23"/>
      <c r="O174" s="23">
        <v>2239</v>
      </c>
      <c r="P174" s="23"/>
      <c r="Q174" s="23"/>
      <c r="R174" s="23">
        <v>2239</v>
      </c>
      <c r="S174" s="23"/>
      <c r="T174" s="23"/>
      <c r="U174" s="23">
        <v>2239</v>
      </c>
      <c r="V174" s="7" t="s">
        <v>617</v>
      </c>
      <c r="W174" s="23">
        <f t="shared" si="22"/>
        <v>0</v>
      </c>
      <c r="X174" s="7"/>
      <c r="Y174" s="7"/>
      <c r="Z174" s="7"/>
      <c r="AA174" s="82"/>
      <c r="AB174" s="82"/>
      <c r="AC174" s="82"/>
      <c r="AD174" s="23"/>
      <c r="AE174" s="7" t="s">
        <v>421</v>
      </c>
    </row>
    <row r="175" spans="1:31" x14ac:dyDescent="0.2">
      <c r="A175" s="141" t="s">
        <v>139</v>
      </c>
      <c r="B175" s="9" t="s">
        <v>495</v>
      </c>
      <c r="C175" s="9" t="s">
        <v>495</v>
      </c>
      <c r="D175" s="9">
        <v>0</v>
      </c>
      <c r="E175" s="9"/>
      <c r="F175" s="9">
        <v>0</v>
      </c>
      <c r="G175" s="4">
        <v>6091</v>
      </c>
      <c r="H175" s="4">
        <f t="shared" si="20"/>
        <v>6091</v>
      </c>
      <c r="I175" s="24">
        <f t="shared" si="21"/>
        <v>1</v>
      </c>
      <c r="J175" s="23">
        <v>2000</v>
      </c>
      <c r="K175" s="23"/>
      <c r="L175" s="23"/>
      <c r="M175" s="23"/>
      <c r="N175" s="23">
        <v>1000</v>
      </c>
      <c r="O175" s="23"/>
      <c r="P175" s="23">
        <v>1000</v>
      </c>
      <c r="Q175" s="23">
        <v>500</v>
      </c>
      <c r="R175" s="23"/>
      <c r="S175" s="23">
        <v>1000</v>
      </c>
      <c r="T175" s="23"/>
      <c r="U175" s="23">
        <v>591</v>
      </c>
      <c r="V175" s="7" t="s">
        <v>618</v>
      </c>
      <c r="W175" s="23">
        <f t="shared" si="22"/>
        <v>0</v>
      </c>
      <c r="X175" s="7"/>
      <c r="Y175" s="7"/>
      <c r="Z175" s="7"/>
      <c r="AA175" s="82"/>
      <c r="AB175" s="82"/>
      <c r="AC175" s="82"/>
      <c r="AD175" s="23"/>
      <c r="AE175" s="7" t="s">
        <v>421</v>
      </c>
    </row>
    <row r="176" spans="1:31" x14ac:dyDescent="0.2">
      <c r="A176" s="141" t="s">
        <v>140</v>
      </c>
      <c r="B176" s="9" t="s">
        <v>495</v>
      </c>
      <c r="C176" s="9" t="s">
        <v>495</v>
      </c>
      <c r="D176" s="9" t="s">
        <v>495</v>
      </c>
      <c r="E176" s="9"/>
      <c r="F176" s="9">
        <v>0</v>
      </c>
      <c r="G176" s="4">
        <v>8061</v>
      </c>
      <c r="H176" s="4">
        <f t="shared" si="20"/>
        <v>8061</v>
      </c>
      <c r="I176" s="24">
        <f t="shared" si="21"/>
        <v>1</v>
      </c>
      <c r="J176" s="23">
        <v>0</v>
      </c>
      <c r="K176" s="23"/>
      <c r="L176" s="23"/>
      <c r="M176" s="23"/>
      <c r="N176" s="23"/>
      <c r="O176" s="23"/>
      <c r="P176" s="23"/>
      <c r="Q176" s="23"/>
      <c r="R176" s="23"/>
      <c r="S176" s="23"/>
      <c r="T176" s="23">
        <v>8061</v>
      </c>
      <c r="U176" s="23"/>
      <c r="V176" s="7" t="s">
        <v>619</v>
      </c>
      <c r="W176" s="23">
        <f t="shared" si="22"/>
        <v>0</v>
      </c>
      <c r="X176" s="7"/>
      <c r="Y176" s="7"/>
      <c r="Z176" s="7"/>
      <c r="AA176" s="82"/>
      <c r="AB176" s="82"/>
      <c r="AC176" s="82"/>
      <c r="AD176" s="23"/>
      <c r="AE176" s="7" t="s">
        <v>421</v>
      </c>
    </row>
    <row r="177" spans="1:31" x14ac:dyDescent="0.2">
      <c r="A177" s="141" t="s">
        <v>141</v>
      </c>
      <c r="B177" s="9" t="s">
        <v>495</v>
      </c>
      <c r="C177" s="9" t="s">
        <v>495</v>
      </c>
      <c r="D177" s="9">
        <v>0</v>
      </c>
      <c r="E177" s="9"/>
      <c r="F177" s="9">
        <v>0</v>
      </c>
      <c r="G177" s="4">
        <v>15023</v>
      </c>
      <c r="H177" s="4">
        <f t="shared" si="20"/>
        <v>15023</v>
      </c>
      <c r="I177" s="24">
        <f t="shared" si="21"/>
        <v>1</v>
      </c>
      <c r="J177" s="23">
        <v>0</v>
      </c>
      <c r="K177" s="23"/>
      <c r="L177" s="23"/>
      <c r="M177" s="23">
        <v>4000</v>
      </c>
      <c r="N177" s="23">
        <v>2500</v>
      </c>
      <c r="O177" s="23"/>
      <c r="P177" s="23">
        <v>5000</v>
      </c>
      <c r="Q177" s="23"/>
      <c r="R177" s="23"/>
      <c r="S177" s="23">
        <v>2500</v>
      </c>
      <c r="T177" s="23">
        <v>2523</v>
      </c>
      <c r="U177" s="23">
        <v>-1500</v>
      </c>
      <c r="V177" s="7" t="s">
        <v>620</v>
      </c>
      <c r="W177" s="23">
        <f t="shared" si="22"/>
        <v>0</v>
      </c>
      <c r="X177" s="7"/>
      <c r="Y177" s="7"/>
      <c r="Z177" s="7"/>
      <c r="AA177" s="82"/>
      <c r="AB177" s="82"/>
      <c r="AC177" s="82"/>
      <c r="AD177" s="23"/>
      <c r="AE177" s="7" t="s">
        <v>427</v>
      </c>
    </row>
    <row r="178" spans="1:31" x14ac:dyDescent="0.2">
      <c r="A178" s="141" t="s">
        <v>142</v>
      </c>
      <c r="B178" s="9" t="s">
        <v>495</v>
      </c>
      <c r="C178" s="9" t="s">
        <v>495</v>
      </c>
      <c r="D178" s="9" t="s">
        <v>495</v>
      </c>
      <c r="E178" s="9"/>
      <c r="F178" s="9">
        <v>0</v>
      </c>
      <c r="G178" s="4">
        <v>16050</v>
      </c>
      <c r="H178" s="4">
        <f t="shared" si="20"/>
        <v>5000</v>
      </c>
      <c r="I178" s="24">
        <f t="shared" si="21"/>
        <v>0.3115</v>
      </c>
      <c r="J178" s="23">
        <v>0</v>
      </c>
      <c r="K178" s="23"/>
      <c r="L178" s="23">
        <v>5000</v>
      </c>
      <c r="M178" s="23"/>
      <c r="N178" s="23"/>
      <c r="O178" s="23"/>
      <c r="P178" s="23"/>
      <c r="Q178" s="23"/>
      <c r="R178" s="23"/>
      <c r="S178" s="23"/>
      <c r="T178" s="23"/>
      <c r="U178" s="23"/>
      <c r="V178" s="7" t="s">
        <v>621</v>
      </c>
      <c r="W178" s="23">
        <f t="shared" si="22"/>
        <v>11050</v>
      </c>
      <c r="X178" s="7"/>
      <c r="Y178" s="7"/>
      <c r="Z178" s="7"/>
      <c r="AA178" s="82"/>
      <c r="AB178" s="82"/>
      <c r="AC178" s="82"/>
      <c r="AD178" s="23"/>
      <c r="AE178" s="7" t="s">
        <v>427</v>
      </c>
    </row>
    <row r="179" spans="1:31" x14ac:dyDescent="0.2">
      <c r="A179" s="141" t="s">
        <v>143</v>
      </c>
      <c r="B179" s="9">
        <v>0</v>
      </c>
      <c r="C179" s="9" t="s">
        <v>495</v>
      </c>
      <c r="D179" s="9" t="s">
        <v>495</v>
      </c>
      <c r="E179" s="9"/>
      <c r="F179" s="9">
        <v>0</v>
      </c>
      <c r="G179" s="4">
        <v>2031</v>
      </c>
      <c r="H179" s="4">
        <f t="shared" si="20"/>
        <v>2031</v>
      </c>
      <c r="I179" s="24">
        <f t="shared" si="21"/>
        <v>1</v>
      </c>
      <c r="J179" s="23">
        <v>0</v>
      </c>
      <c r="K179" s="23"/>
      <c r="L179" s="23"/>
      <c r="M179" s="23"/>
      <c r="N179" s="23"/>
      <c r="O179" s="23">
        <v>1000</v>
      </c>
      <c r="P179" s="23"/>
      <c r="Q179" s="23">
        <v>1031</v>
      </c>
      <c r="R179" s="23"/>
      <c r="S179" s="23"/>
      <c r="T179" s="23"/>
      <c r="U179" s="23"/>
      <c r="V179" s="7" t="s">
        <v>622</v>
      </c>
      <c r="W179" s="23">
        <f t="shared" si="22"/>
        <v>0</v>
      </c>
      <c r="X179" s="7"/>
      <c r="Y179" s="7"/>
      <c r="Z179" s="7"/>
      <c r="AA179" s="82"/>
      <c r="AB179" s="82"/>
      <c r="AC179" s="82"/>
      <c r="AD179" s="23"/>
      <c r="AE179" s="7" t="s">
        <v>427</v>
      </c>
    </row>
    <row r="180" spans="1:31" x14ac:dyDescent="0.2">
      <c r="A180" s="141" t="s">
        <v>144</v>
      </c>
      <c r="B180" s="9" t="s">
        <v>495</v>
      </c>
      <c r="C180" s="9" t="s">
        <v>495</v>
      </c>
      <c r="D180" s="9" t="s">
        <v>495</v>
      </c>
      <c r="E180" s="9"/>
      <c r="F180" s="9">
        <v>0</v>
      </c>
      <c r="G180" s="4">
        <v>1821</v>
      </c>
      <c r="H180" s="4">
        <f t="shared" si="20"/>
        <v>1821</v>
      </c>
      <c r="I180" s="24">
        <f t="shared" si="21"/>
        <v>1</v>
      </c>
      <c r="J180" s="23">
        <v>0</v>
      </c>
      <c r="K180" s="23"/>
      <c r="L180" s="23"/>
      <c r="M180" s="23"/>
      <c r="N180" s="23"/>
      <c r="O180" s="23"/>
      <c r="P180" s="23">
        <v>910.5</v>
      </c>
      <c r="Q180" s="23"/>
      <c r="R180" s="23"/>
      <c r="S180" s="23"/>
      <c r="T180" s="23"/>
      <c r="U180" s="23">
        <v>910.5</v>
      </c>
      <c r="V180" s="7" t="s">
        <v>623</v>
      </c>
      <c r="W180" s="23">
        <f t="shared" si="22"/>
        <v>0</v>
      </c>
      <c r="X180" s="7"/>
      <c r="Y180" s="7"/>
      <c r="Z180" s="7"/>
      <c r="AA180" s="82"/>
      <c r="AB180" s="82"/>
      <c r="AC180" s="82"/>
      <c r="AD180" s="23"/>
      <c r="AE180" s="7" t="s">
        <v>427</v>
      </c>
    </row>
    <row r="181" spans="1:31" x14ac:dyDescent="0.2">
      <c r="A181" s="141" t="s">
        <v>145</v>
      </c>
      <c r="B181" s="9" t="s">
        <v>495</v>
      </c>
      <c r="C181" s="9">
        <v>0</v>
      </c>
      <c r="D181" s="9">
        <v>0</v>
      </c>
      <c r="E181" s="9"/>
      <c r="F181" s="9" t="s">
        <v>495</v>
      </c>
      <c r="G181" s="4">
        <v>8664</v>
      </c>
      <c r="H181" s="4">
        <f t="shared" si="20"/>
        <v>2520</v>
      </c>
      <c r="I181" s="24">
        <f t="shared" si="21"/>
        <v>0.29089999999999999</v>
      </c>
      <c r="J181" s="23">
        <v>280</v>
      </c>
      <c r="K181" s="23">
        <v>280</v>
      </c>
      <c r="L181" s="23">
        <v>280</v>
      </c>
      <c r="M181" s="23">
        <v>0</v>
      </c>
      <c r="N181" s="23">
        <v>0</v>
      </c>
      <c r="O181" s="23">
        <v>0</v>
      </c>
      <c r="P181" s="23">
        <v>280</v>
      </c>
      <c r="Q181" s="23">
        <v>280</v>
      </c>
      <c r="R181" s="23">
        <v>280</v>
      </c>
      <c r="S181" s="23">
        <v>280</v>
      </c>
      <c r="T181" s="23">
        <v>280</v>
      </c>
      <c r="U181" s="23">
        <v>280</v>
      </c>
      <c r="V181" s="7" t="s">
        <v>624</v>
      </c>
      <c r="W181" s="23">
        <f t="shared" si="22"/>
        <v>6144</v>
      </c>
      <c r="X181" s="7"/>
      <c r="Y181" s="7"/>
      <c r="Z181" s="7"/>
      <c r="AA181" s="82"/>
      <c r="AB181" s="82"/>
      <c r="AC181" s="82"/>
      <c r="AD181" s="23"/>
      <c r="AE181" s="7" t="s">
        <v>423</v>
      </c>
    </row>
    <row r="182" spans="1:31" x14ac:dyDescent="0.2">
      <c r="A182" s="141" t="s">
        <v>146</v>
      </c>
      <c r="B182" s="9" t="s">
        <v>495</v>
      </c>
      <c r="C182" s="9" t="s">
        <v>495</v>
      </c>
      <c r="D182" s="9" t="s">
        <v>495</v>
      </c>
      <c r="E182" s="9"/>
      <c r="F182" s="9">
        <v>0</v>
      </c>
      <c r="G182" s="4">
        <v>16011</v>
      </c>
      <c r="H182" s="4">
        <f t="shared" si="20"/>
        <v>15957</v>
      </c>
      <c r="I182" s="24">
        <f t="shared" si="21"/>
        <v>0.99660000000000004</v>
      </c>
      <c r="J182" s="23">
        <v>0</v>
      </c>
      <c r="K182" s="23">
        <v>3500</v>
      </c>
      <c r="L182" s="23"/>
      <c r="M182" s="23"/>
      <c r="N182" s="23">
        <v>3500</v>
      </c>
      <c r="O182" s="23"/>
      <c r="P182" s="23"/>
      <c r="Q182" s="23"/>
      <c r="R182" s="23"/>
      <c r="S182" s="23">
        <v>4000</v>
      </c>
      <c r="T182" s="23"/>
      <c r="U182" s="23">
        <v>4957</v>
      </c>
      <c r="V182" s="7" t="s">
        <v>625</v>
      </c>
      <c r="W182" s="23">
        <f t="shared" si="22"/>
        <v>54</v>
      </c>
      <c r="X182" s="7"/>
      <c r="Y182" s="7"/>
      <c r="Z182" s="7"/>
      <c r="AA182" s="82"/>
      <c r="AB182" s="82"/>
      <c r="AC182" s="82"/>
      <c r="AD182" s="23"/>
      <c r="AE182" s="7" t="s">
        <v>423</v>
      </c>
    </row>
    <row r="183" spans="1:31" x14ac:dyDescent="0.2">
      <c r="A183" s="141" t="s">
        <v>147</v>
      </c>
      <c r="B183" s="9" t="s">
        <v>495</v>
      </c>
      <c r="C183" s="9" t="s">
        <v>495</v>
      </c>
      <c r="D183" s="9">
        <v>0</v>
      </c>
      <c r="E183" s="9"/>
      <c r="F183" s="9">
        <v>0</v>
      </c>
      <c r="G183" s="4">
        <v>7015</v>
      </c>
      <c r="H183" s="4">
        <f t="shared" si="20"/>
        <v>3000</v>
      </c>
      <c r="I183" s="24">
        <f t="shared" si="21"/>
        <v>0.42770000000000002</v>
      </c>
      <c r="J183" s="23">
        <v>0</v>
      </c>
      <c r="K183" s="23"/>
      <c r="L183" s="23"/>
      <c r="M183" s="23"/>
      <c r="N183" s="23">
        <v>300</v>
      </c>
      <c r="O183" s="23"/>
      <c r="P183" s="23">
        <v>700</v>
      </c>
      <c r="Q183" s="23"/>
      <c r="R183" s="23"/>
      <c r="S183" s="23"/>
      <c r="T183" s="23"/>
      <c r="U183" s="23">
        <v>2000</v>
      </c>
      <c r="V183" s="7" t="s">
        <v>626</v>
      </c>
      <c r="W183" s="23">
        <f t="shared" si="22"/>
        <v>4015</v>
      </c>
      <c r="X183" s="7"/>
      <c r="Y183" s="7"/>
      <c r="Z183" s="7"/>
      <c r="AA183" s="82"/>
      <c r="AB183" s="82"/>
      <c r="AC183" s="82"/>
      <c r="AD183" s="23"/>
      <c r="AE183" s="7" t="s">
        <v>423</v>
      </c>
    </row>
    <row r="184" spans="1:31" x14ac:dyDescent="0.2">
      <c r="A184" s="141" t="s">
        <v>148</v>
      </c>
      <c r="B184" s="9" t="s">
        <v>495</v>
      </c>
      <c r="C184" s="9" t="s">
        <v>495</v>
      </c>
      <c r="D184" s="9" t="s">
        <v>495</v>
      </c>
      <c r="E184" s="9"/>
      <c r="F184" s="9">
        <v>0</v>
      </c>
      <c r="G184" s="4">
        <v>25420</v>
      </c>
      <c r="H184" s="4">
        <f t="shared" si="20"/>
        <v>9420</v>
      </c>
      <c r="I184" s="24">
        <f t="shared" si="21"/>
        <v>0.37059999999999998</v>
      </c>
      <c r="J184" s="23">
        <v>0</v>
      </c>
      <c r="K184" s="23"/>
      <c r="L184" s="23"/>
      <c r="M184" s="23"/>
      <c r="N184" s="23"/>
      <c r="O184" s="23"/>
      <c r="P184" s="23">
        <v>6420</v>
      </c>
      <c r="Q184" s="23"/>
      <c r="R184" s="23"/>
      <c r="S184" s="23"/>
      <c r="T184" s="23"/>
      <c r="U184" s="23">
        <v>3000</v>
      </c>
      <c r="V184" s="7" t="s">
        <v>627</v>
      </c>
      <c r="W184" s="23">
        <f t="shared" si="22"/>
        <v>16000</v>
      </c>
      <c r="X184" s="7"/>
      <c r="Y184" s="7"/>
      <c r="Z184" s="7"/>
      <c r="AA184" s="82"/>
      <c r="AB184" s="82"/>
      <c r="AC184" s="82"/>
      <c r="AD184" s="23"/>
      <c r="AE184" s="7" t="s">
        <v>422</v>
      </c>
    </row>
    <row r="185" spans="1:31" x14ac:dyDescent="0.2">
      <c r="A185" s="141" t="s">
        <v>149</v>
      </c>
      <c r="B185" s="9" t="s">
        <v>495</v>
      </c>
      <c r="C185" s="9" t="s">
        <v>495</v>
      </c>
      <c r="D185" s="9" t="s">
        <v>495</v>
      </c>
      <c r="E185" s="9"/>
      <c r="F185" s="9" t="s">
        <v>495</v>
      </c>
      <c r="G185" s="4">
        <v>34712</v>
      </c>
      <c r="H185" s="4">
        <f t="shared" si="20"/>
        <v>34712.000000000007</v>
      </c>
      <c r="I185" s="24">
        <f t="shared" si="21"/>
        <v>1</v>
      </c>
      <c r="J185" s="23">
        <v>2763</v>
      </c>
      <c r="K185" s="23">
        <v>2904.5</v>
      </c>
      <c r="L185" s="23">
        <v>2904.45</v>
      </c>
      <c r="M185" s="23">
        <v>2904.45</v>
      </c>
      <c r="N185" s="23">
        <v>2904.45</v>
      </c>
      <c r="O185" s="23">
        <v>2904.45</v>
      </c>
      <c r="P185" s="23">
        <v>2904.45</v>
      </c>
      <c r="Q185" s="23">
        <v>2904.45</v>
      </c>
      <c r="R185" s="23">
        <v>2904.45</v>
      </c>
      <c r="S185" s="23">
        <v>2904.45</v>
      </c>
      <c r="T185" s="23">
        <v>2904.45</v>
      </c>
      <c r="U185" s="23">
        <v>2904.45</v>
      </c>
      <c r="V185" s="7" t="s">
        <v>628</v>
      </c>
      <c r="W185" s="23">
        <f t="shared" si="22"/>
        <v>0</v>
      </c>
      <c r="X185" s="7"/>
      <c r="Y185" s="7"/>
      <c r="Z185" s="7"/>
      <c r="AA185" s="82"/>
      <c r="AB185" s="82"/>
      <c r="AC185" s="82"/>
      <c r="AD185" s="23"/>
      <c r="AE185" s="7" t="s">
        <v>422</v>
      </c>
    </row>
    <row r="186" spans="1:31" x14ac:dyDescent="0.2">
      <c r="A186" s="141" t="s">
        <v>150</v>
      </c>
      <c r="B186" s="9" t="s">
        <v>495</v>
      </c>
      <c r="C186" s="9" t="s">
        <v>495</v>
      </c>
      <c r="D186" s="9" t="s">
        <v>495</v>
      </c>
      <c r="E186" s="9"/>
      <c r="F186" s="9">
        <v>0</v>
      </c>
      <c r="G186" s="4">
        <v>8463</v>
      </c>
      <c r="H186" s="4">
        <f t="shared" si="20"/>
        <v>4110.71</v>
      </c>
      <c r="I186" s="24">
        <f t="shared" si="21"/>
        <v>0.48570000000000002</v>
      </c>
      <c r="J186" s="23">
        <v>699</v>
      </c>
      <c r="K186" s="23">
        <v>705.9</v>
      </c>
      <c r="L186" s="23">
        <v>705.81</v>
      </c>
      <c r="M186" s="23">
        <v>0</v>
      </c>
      <c r="N186" s="23"/>
      <c r="O186" s="23"/>
      <c r="P186" s="23"/>
      <c r="Q186" s="23"/>
      <c r="R186" s="23"/>
      <c r="S186" s="23"/>
      <c r="T186" s="23"/>
      <c r="U186" s="23">
        <v>2000</v>
      </c>
      <c r="V186" s="7" t="s">
        <v>629</v>
      </c>
      <c r="W186" s="23">
        <f t="shared" si="22"/>
        <v>4352.29</v>
      </c>
      <c r="X186" s="7"/>
      <c r="Y186" s="7"/>
      <c r="Z186" s="7"/>
      <c r="AA186" s="82"/>
      <c r="AB186" s="82"/>
      <c r="AC186" s="82"/>
      <c r="AD186" s="23"/>
      <c r="AE186" s="7" t="s">
        <v>422</v>
      </c>
    </row>
    <row r="187" spans="1:31" x14ac:dyDescent="0.2">
      <c r="A187" s="141" t="s">
        <v>151</v>
      </c>
      <c r="B187" s="9" t="s">
        <v>495</v>
      </c>
      <c r="C187" s="9" t="s">
        <v>495</v>
      </c>
      <c r="D187" s="9" t="s">
        <v>495</v>
      </c>
      <c r="E187" s="9"/>
      <c r="F187" s="9">
        <v>0</v>
      </c>
      <c r="G187" s="4">
        <v>27148</v>
      </c>
      <c r="H187" s="4">
        <f t="shared" si="20"/>
        <v>25740</v>
      </c>
      <c r="I187" s="24">
        <f t="shared" si="21"/>
        <v>0.94810000000000005</v>
      </c>
      <c r="J187" s="23">
        <v>0</v>
      </c>
      <c r="K187" s="23">
        <v>3500</v>
      </c>
      <c r="L187" s="23">
        <v>2500</v>
      </c>
      <c r="M187" s="23">
        <v>4000</v>
      </c>
      <c r="N187" s="23"/>
      <c r="O187" s="23"/>
      <c r="P187" s="23">
        <v>2500</v>
      </c>
      <c r="Q187" s="23">
        <v>4500</v>
      </c>
      <c r="R187" s="23"/>
      <c r="S187" s="23"/>
      <c r="T187" s="23">
        <v>2000</v>
      </c>
      <c r="U187" s="23">
        <v>6740</v>
      </c>
      <c r="V187" s="7" t="s">
        <v>630</v>
      </c>
      <c r="W187" s="23">
        <f t="shared" si="22"/>
        <v>1408</v>
      </c>
      <c r="X187" s="7"/>
      <c r="Y187" s="7"/>
      <c r="Z187" s="7"/>
      <c r="AA187" s="82"/>
      <c r="AB187" s="82"/>
      <c r="AC187" s="82"/>
      <c r="AD187" s="23"/>
      <c r="AE187" s="7" t="s">
        <v>423</v>
      </c>
    </row>
    <row r="188" spans="1:31" x14ac:dyDescent="0.2">
      <c r="A188" s="141" t="s">
        <v>152</v>
      </c>
      <c r="B188" s="9" t="s">
        <v>495</v>
      </c>
      <c r="C188" s="9" t="s">
        <v>495</v>
      </c>
      <c r="D188" s="9" t="s">
        <v>495</v>
      </c>
      <c r="E188" s="9"/>
      <c r="F188" s="9">
        <v>0</v>
      </c>
      <c r="G188" s="4">
        <v>8471</v>
      </c>
      <c r="H188" s="4">
        <f t="shared" si="20"/>
        <v>8460</v>
      </c>
      <c r="I188" s="24">
        <f t="shared" si="21"/>
        <v>0.99870000000000003</v>
      </c>
      <c r="J188" s="23">
        <v>0</v>
      </c>
      <c r="K188" s="23"/>
      <c r="L188" s="23"/>
      <c r="M188" s="23"/>
      <c r="N188" s="23"/>
      <c r="O188" s="23"/>
      <c r="P188" s="23"/>
      <c r="Q188" s="23"/>
      <c r="R188" s="23">
        <v>5100</v>
      </c>
      <c r="S188" s="23"/>
      <c r="T188" s="23"/>
      <c r="U188" s="23">
        <v>3360</v>
      </c>
      <c r="V188" s="7" t="s">
        <v>631</v>
      </c>
      <c r="W188" s="23">
        <f t="shared" si="22"/>
        <v>11</v>
      </c>
      <c r="X188" s="7"/>
      <c r="Y188" s="7"/>
      <c r="Z188" s="7"/>
      <c r="AA188" s="82"/>
      <c r="AB188" s="82"/>
      <c r="AC188" s="82"/>
      <c r="AD188" s="23"/>
      <c r="AE188" s="7" t="s">
        <v>423</v>
      </c>
    </row>
    <row r="189" spans="1:31" x14ac:dyDescent="0.2">
      <c r="A189" s="141" t="s">
        <v>153</v>
      </c>
      <c r="B189" s="9" t="s">
        <v>495</v>
      </c>
      <c r="C189" s="9" t="s">
        <v>495</v>
      </c>
      <c r="D189" s="9" t="s">
        <v>495</v>
      </c>
      <c r="E189" s="9"/>
      <c r="F189" s="9" t="s">
        <v>495</v>
      </c>
      <c r="G189" s="4">
        <v>44978</v>
      </c>
      <c r="H189" s="4">
        <f t="shared" si="20"/>
        <v>33733.519999999997</v>
      </c>
      <c r="I189" s="24">
        <f t="shared" si="21"/>
        <v>0.75</v>
      </c>
      <c r="J189" s="23">
        <v>3748.24</v>
      </c>
      <c r="K189" s="23">
        <v>3748.16</v>
      </c>
      <c r="L189" s="23">
        <v>3748.16</v>
      </c>
      <c r="M189" s="23">
        <v>3748.16</v>
      </c>
      <c r="N189" s="23">
        <v>3748.16</v>
      </c>
      <c r="O189" s="23">
        <v>3748.16</v>
      </c>
      <c r="P189" s="23">
        <v>3748.16</v>
      </c>
      <c r="Q189" s="23">
        <v>3748.16</v>
      </c>
      <c r="R189" s="23">
        <v>3748.16</v>
      </c>
      <c r="S189" s="23"/>
      <c r="T189" s="23"/>
      <c r="U189" s="23"/>
      <c r="V189" s="7" t="s">
        <v>632</v>
      </c>
      <c r="W189" s="23">
        <f t="shared" si="22"/>
        <v>11244.480000000003</v>
      </c>
      <c r="X189" s="7"/>
      <c r="Y189" s="7"/>
      <c r="Z189" s="7"/>
      <c r="AA189" s="82"/>
      <c r="AB189" s="82"/>
      <c r="AC189" s="82"/>
      <c r="AD189" s="23"/>
      <c r="AE189" s="7" t="s">
        <v>424</v>
      </c>
    </row>
    <row r="190" spans="1:31" x14ac:dyDescent="0.2">
      <c r="A190" s="141" t="s">
        <v>154</v>
      </c>
      <c r="B190" s="9" t="s">
        <v>495</v>
      </c>
      <c r="C190" s="9">
        <v>0</v>
      </c>
      <c r="D190" s="9">
        <v>0</v>
      </c>
      <c r="E190" s="9"/>
      <c r="F190" s="9">
        <v>0</v>
      </c>
      <c r="G190" s="4">
        <v>4566</v>
      </c>
      <c r="H190" s="4">
        <f t="shared" si="20"/>
        <v>4566</v>
      </c>
      <c r="I190" s="24">
        <f t="shared" si="21"/>
        <v>1</v>
      </c>
      <c r="J190" s="23">
        <v>0</v>
      </c>
      <c r="K190" s="23"/>
      <c r="L190" s="23"/>
      <c r="M190" s="23"/>
      <c r="N190" s="23"/>
      <c r="O190" s="23"/>
      <c r="P190" s="23"/>
      <c r="Q190" s="23">
        <v>4566</v>
      </c>
      <c r="R190" s="23"/>
      <c r="S190" s="23"/>
      <c r="T190" s="23"/>
      <c r="U190" s="23"/>
      <c r="V190" s="7" t="s">
        <v>633</v>
      </c>
      <c r="W190" s="23">
        <f t="shared" si="22"/>
        <v>0</v>
      </c>
      <c r="X190" s="7"/>
      <c r="Y190" s="7"/>
      <c r="Z190" s="7"/>
      <c r="AA190" s="23"/>
      <c r="AB190" s="23"/>
      <c r="AC190" s="82"/>
      <c r="AD190" s="23"/>
      <c r="AE190" s="7" t="s">
        <v>424</v>
      </c>
    </row>
    <row r="191" spans="1:31" x14ac:dyDescent="0.2">
      <c r="A191" s="141" t="s">
        <v>155</v>
      </c>
      <c r="B191" s="9" t="s">
        <v>495</v>
      </c>
      <c r="C191" s="9" t="s">
        <v>495</v>
      </c>
      <c r="D191" s="9" t="s">
        <v>495</v>
      </c>
      <c r="E191" s="9"/>
      <c r="F191" s="9" t="s">
        <v>495</v>
      </c>
      <c r="G191" s="4">
        <v>12542</v>
      </c>
      <c r="H191" s="4">
        <f t="shared" si="20"/>
        <v>6131.02</v>
      </c>
      <c r="I191" s="24">
        <f t="shared" si="21"/>
        <v>0.48880000000000001</v>
      </c>
      <c r="J191" s="23">
        <v>1021.87</v>
      </c>
      <c r="K191" s="23">
        <v>1021.83</v>
      </c>
      <c r="L191" s="23">
        <v>1021.83</v>
      </c>
      <c r="M191" s="23">
        <v>0</v>
      </c>
      <c r="N191" s="23"/>
      <c r="O191" s="23"/>
      <c r="P191" s="23"/>
      <c r="Q191" s="23"/>
      <c r="R191" s="23"/>
      <c r="S191" s="23">
        <v>1021.83</v>
      </c>
      <c r="T191" s="23">
        <v>1021.83</v>
      </c>
      <c r="U191" s="23">
        <v>1021.83</v>
      </c>
      <c r="V191" s="7" t="s">
        <v>634</v>
      </c>
      <c r="W191" s="23">
        <f t="shared" si="22"/>
        <v>6410.98</v>
      </c>
      <c r="X191" s="7"/>
      <c r="Y191" s="7"/>
      <c r="Z191" s="7"/>
      <c r="AA191" s="23"/>
      <c r="AB191" s="23"/>
      <c r="AC191" s="82"/>
      <c r="AD191" s="23"/>
      <c r="AE191" s="7" t="s">
        <v>419</v>
      </c>
    </row>
    <row r="192" spans="1:31" x14ac:dyDescent="0.2">
      <c r="A192" s="141" t="s">
        <v>156</v>
      </c>
      <c r="B192" s="9" t="s">
        <v>495</v>
      </c>
      <c r="C192" s="9" t="s">
        <v>495</v>
      </c>
      <c r="D192" s="9" t="s">
        <v>495</v>
      </c>
      <c r="E192" s="9"/>
      <c r="F192" s="9">
        <v>0</v>
      </c>
      <c r="G192" s="4">
        <v>2150</v>
      </c>
      <c r="H192" s="4">
        <f t="shared" si="20"/>
        <v>2100</v>
      </c>
      <c r="I192" s="24">
        <f t="shared" si="21"/>
        <v>0.97670000000000001</v>
      </c>
      <c r="J192" s="23">
        <v>175</v>
      </c>
      <c r="K192" s="23"/>
      <c r="L192" s="23">
        <v>350</v>
      </c>
      <c r="M192" s="23">
        <v>175</v>
      </c>
      <c r="N192" s="23"/>
      <c r="O192" s="23">
        <v>350</v>
      </c>
      <c r="P192" s="23">
        <v>175</v>
      </c>
      <c r="Q192" s="23"/>
      <c r="R192" s="23">
        <v>350</v>
      </c>
      <c r="S192" s="23">
        <v>175</v>
      </c>
      <c r="T192" s="23">
        <v>175</v>
      </c>
      <c r="U192" s="23">
        <v>175</v>
      </c>
      <c r="V192" s="7" t="s">
        <v>635</v>
      </c>
      <c r="W192" s="23">
        <f t="shared" si="22"/>
        <v>50</v>
      </c>
      <c r="X192" s="7"/>
      <c r="Y192" s="7"/>
      <c r="Z192" s="7"/>
      <c r="AA192" s="23"/>
      <c r="AB192" s="23"/>
      <c r="AC192" s="82"/>
      <c r="AD192" s="23"/>
      <c r="AE192" s="7" t="s">
        <v>419</v>
      </c>
    </row>
    <row r="193" spans="1:31" x14ac:dyDescent="0.2">
      <c r="A193" s="141" t="s">
        <v>157</v>
      </c>
      <c r="B193" s="9">
        <v>0</v>
      </c>
      <c r="C193" s="9" t="s">
        <v>495</v>
      </c>
      <c r="D193" s="9" t="s">
        <v>495</v>
      </c>
      <c r="E193" s="9"/>
      <c r="F193" s="9" t="s">
        <v>495</v>
      </c>
      <c r="G193" s="4">
        <v>10889</v>
      </c>
      <c r="H193" s="4">
        <f t="shared" si="20"/>
        <v>10847.000000000002</v>
      </c>
      <c r="I193" s="24">
        <f t="shared" si="21"/>
        <v>0.99609999999999999</v>
      </c>
      <c r="J193" s="23">
        <v>443.33</v>
      </c>
      <c r="K193" s="23">
        <v>443.33</v>
      </c>
      <c r="L193" s="23">
        <v>443.33</v>
      </c>
      <c r="M193" s="23">
        <v>1007.85</v>
      </c>
      <c r="N193" s="23">
        <v>1007.77</v>
      </c>
      <c r="O193" s="23">
        <v>1007.77</v>
      </c>
      <c r="P193" s="23">
        <v>1007.77</v>
      </c>
      <c r="Q193" s="23">
        <v>1007.77</v>
      </c>
      <c r="R193" s="23">
        <v>1007.77</v>
      </c>
      <c r="S193" s="23">
        <v>1007.77</v>
      </c>
      <c r="T193" s="23">
        <v>1007.77</v>
      </c>
      <c r="U193" s="23">
        <v>1454.77</v>
      </c>
      <c r="V193" s="7" t="s">
        <v>636</v>
      </c>
      <c r="W193" s="23">
        <f t="shared" si="22"/>
        <v>41.999999999998181</v>
      </c>
      <c r="X193" s="7"/>
      <c r="Y193" s="7"/>
      <c r="Z193" s="7"/>
      <c r="AA193" s="23"/>
      <c r="AB193" s="23"/>
      <c r="AC193" s="82"/>
      <c r="AD193" s="23"/>
      <c r="AE193" s="7" t="s">
        <v>426</v>
      </c>
    </row>
    <row r="194" spans="1:31" x14ac:dyDescent="0.2">
      <c r="A194" s="141" t="s">
        <v>158</v>
      </c>
      <c r="B194" s="9" t="s">
        <v>495</v>
      </c>
      <c r="C194" s="9" t="s">
        <v>495</v>
      </c>
      <c r="D194" s="9" t="s">
        <v>495</v>
      </c>
      <c r="E194" s="9"/>
      <c r="F194" s="9" t="s">
        <v>495</v>
      </c>
      <c r="G194" s="4">
        <v>6197</v>
      </c>
      <c r="H194" s="4">
        <f t="shared" si="20"/>
        <v>6058.9999999999991</v>
      </c>
      <c r="I194" s="24">
        <f t="shared" si="21"/>
        <v>0.97770000000000001</v>
      </c>
      <c r="J194" s="23">
        <v>605.9</v>
      </c>
      <c r="K194" s="23">
        <v>605.9</v>
      </c>
      <c r="L194" s="23">
        <v>605.9</v>
      </c>
      <c r="M194" s="23">
        <v>605.9</v>
      </c>
      <c r="N194" s="23">
        <v>605.9</v>
      </c>
      <c r="O194" s="23">
        <v>605.9</v>
      </c>
      <c r="P194" s="23">
        <v>605.9</v>
      </c>
      <c r="Q194" s="23">
        <v>605.9</v>
      </c>
      <c r="R194" s="23">
        <v>605.9</v>
      </c>
      <c r="S194" s="23">
        <v>605.9</v>
      </c>
      <c r="T194" s="23"/>
      <c r="U194" s="23"/>
      <c r="V194" s="7" t="s">
        <v>637</v>
      </c>
      <c r="W194" s="23">
        <f t="shared" si="22"/>
        <v>138.00000000000091</v>
      </c>
      <c r="X194" s="7"/>
      <c r="Y194" s="7"/>
      <c r="Z194" s="7"/>
      <c r="AA194" s="23"/>
      <c r="AB194" s="23"/>
      <c r="AC194" s="82"/>
      <c r="AD194" s="23"/>
      <c r="AE194" s="7" t="s">
        <v>419</v>
      </c>
    </row>
    <row r="195" spans="1:31" x14ac:dyDescent="0.2">
      <c r="A195" s="141" t="s">
        <v>159</v>
      </c>
      <c r="B195" s="9" t="s">
        <v>495</v>
      </c>
      <c r="C195" s="9">
        <v>0</v>
      </c>
      <c r="D195" s="9">
        <v>0</v>
      </c>
      <c r="E195" s="9"/>
      <c r="F195" s="9" t="s">
        <v>638</v>
      </c>
      <c r="G195" s="4">
        <v>22364</v>
      </c>
      <c r="H195" s="4">
        <f t="shared" si="20"/>
        <v>10000</v>
      </c>
      <c r="I195" s="24">
        <f t="shared" si="21"/>
        <v>0.4471</v>
      </c>
      <c r="J195" s="23">
        <v>250</v>
      </c>
      <c r="K195" s="23">
        <v>250</v>
      </c>
      <c r="L195" s="23">
        <v>250</v>
      </c>
      <c r="M195" s="23">
        <v>250</v>
      </c>
      <c r="N195" s="23">
        <v>250</v>
      </c>
      <c r="O195" s="23">
        <v>250</v>
      </c>
      <c r="P195" s="23">
        <v>250</v>
      </c>
      <c r="Q195" s="23">
        <v>250</v>
      </c>
      <c r="R195" s="23">
        <v>250</v>
      </c>
      <c r="S195" s="23">
        <v>250</v>
      </c>
      <c r="T195" s="23">
        <v>250</v>
      </c>
      <c r="U195" s="23">
        <v>250</v>
      </c>
      <c r="V195" s="7" t="s">
        <v>639</v>
      </c>
      <c r="W195" s="23">
        <f t="shared" si="22"/>
        <v>12364</v>
      </c>
      <c r="X195" s="7"/>
      <c r="Y195" s="7"/>
      <c r="Z195" s="7"/>
      <c r="AA195" s="23"/>
      <c r="AB195" s="175">
        <v>7000</v>
      </c>
      <c r="AC195" s="82"/>
      <c r="AD195" s="23"/>
      <c r="AE195" s="7" t="s">
        <v>425</v>
      </c>
    </row>
    <row r="196" spans="1:31" x14ac:dyDescent="0.2">
      <c r="A196" s="141" t="s">
        <v>160</v>
      </c>
      <c r="B196" s="9" t="s">
        <v>495</v>
      </c>
      <c r="C196" s="9" t="s">
        <v>495</v>
      </c>
      <c r="D196" s="9">
        <v>0</v>
      </c>
      <c r="E196" s="9"/>
      <c r="F196" s="9">
        <v>0</v>
      </c>
      <c r="G196" s="4">
        <v>41533</v>
      </c>
      <c r="H196" s="4">
        <f t="shared" si="20"/>
        <v>9000</v>
      </c>
      <c r="I196" s="24">
        <f t="shared" si="21"/>
        <v>0.2167</v>
      </c>
      <c r="J196" s="23">
        <v>0</v>
      </c>
      <c r="K196" s="23"/>
      <c r="L196" s="23"/>
      <c r="M196" s="23"/>
      <c r="N196" s="23"/>
      <c r="O196" s="23"/>
      <c r="P196" s="23"/>
      <c r="Q196" s="23"/>
      <c r="R196" s="23"/>
      <c r="S196" s="23"/>
      <c r="T196" s="23">
        <v>5000</v>
      </c>
      <c r="U196" s="23">
        <v>4000</v>
      </c>
      <c r="V196" s="7" t="s">
        <v>640</v>
      </c>
      <c r="W196" s="23">
        <f t="shared" si="22"/>
        <v>32533</v>
      </c>
      <c r="X196" s="7"/>
      <c r="Y196" s="7"/>
      <c r="Z196" s="7"/>
      <c r="AA196" s="23"/>
      <c r="AB196" s="23"/>
      <c r="AC196" s="82"/>
      <c r="AD196" s="23"/>
      <c r="AE196" s="7" t="s">
        <v>425</v>
      </c>
    </row>
    <row r="197" spans="1:31" x14ac:dyDescent="0.2">
      <c r="A197" s="141" t="s">
        <v>161</v>
      </c>
      <c r="B197" s="9" t="s">
        <v>495</v>
      </c>
      <c r="C197" s="9">
        <v>0</v>
      </c>
      <c r="D197" s="9">
        <v>0</v>
      </c>
      <c r="E197" s="9"/>
      <c r="F197" s="9" t="s">
        <v>495</v>
      </c>
      <c r="G197" s="4">
        <v>17328</v>
      </c>
      <c r="H197" s="4">
        <f t="shared" si="20"/>
        <v>16322</v>
      </c>
      <c r="I197" s="24">
        <f t="shared" si="21"/>
        <v>0.94189999999999996</v>
      </c>
      <c r="J197" s="23">
        <v>1000</v>
      </c>
      <c r="K197" s="23">
        <v>1000</v>
      </c>
      <c r="L197" s="23">
        <v>1000</v>
      </c>
      <c r="M197" s="23">
        <v>0</v>
      </c>
      <c r="N197" s="23">
        <v>1000</v>
      </c>
      <c r="O197" s="23">
        <v>1000</v>
      </c>
      <c r="P197" s="23">
        <v>1000</v>
      </c>
      <c r="Q197" s="23">
        <v>1000</v>
      </c>
      <c r="R197" s="23">
        <v>1000</v>
      </c>
      <c r="S197" s="23">
        <v>1000</v>
      </c>
      <c r="T197" s="23">
        <v>1000</v>
      </c>
      <c r="U197" s="23">
        <v>6322</v>
      </c>
      <c r="V197" s="7" t="s">
        <v>641</v>
      </c>
      <c r="W197" s="23">
        <f t="shared" si="22"/>
        <v>1006</v>
      </c>
      <c r="X197" s="7"/>
      <c r="Y197" s="7"/>
      <c r="Z197" s="7"/>
      <c r="AA197" s="23"/>
      <c r="AB197" s="23"/>
      <c r="AC197" s="82"/>
      <c r="AD197" s="23"/>
      <c r="AE197" s="7" t="s">
        <v>423</v>
      </c>
    </row>
    <row r="198" spans="1:31" x14ac:dyDescent="0.2">
      <c r="A198" s="141" t="s">
        <v>162</v>
      </c>
      <c r="B198" s="9" t="s">
        <v>495</v>
      </c>
      <c r="C198" s="9" t="s">
        <v>495</v>
      </c>
      <c r="D198" s="9">
        <v>0</v>
      </c>
      <c r="E198" s="9"/>
      <c r="F198" s="9">
        <v>0</v>
      </c>
      <c r="G198" s="4">
        <v>14704</v>
      </c>
      <c r="H198" s="4">
        <f t="shared" si="20"/>
        <v>14704</v>
      </c>
      <c r="I198" s="24">
        <f t="shared" si="21"/>
        <v>1</v>
      </c>
      <c r="J198" s="23">
        <v>0</v>
      </c>
      <c r="K198" s="23"/>
      <c r="L198" s="23">
        <v>4000</v>
      </c>
      <c r="M198" s="23"/>
      <c r="N198" s="23"/>
      <c r="O198" s="23"/>
      <c r="P198" s="23">
        <v>4000</v>
      </c>
      <c r="Q198" s="23"/>
      <c r="R198" s="23">
        <v>2500</v>
      </c>
      <c r="S198" s="23"/>
      <c r="T198" s="23">
        <v>2172</v>
      </c>
      <c r="U198" s="23">
        <v>2000</v>
      </c>
      <c r="V198" s="7" t="s">
        <v>642</v>
      </c>
      <c r="W198" s="23">
        <f t="shared" si="22"/>
        <v>0</v>
      </c>
      <c r="X198" s="7"/>
      <c r="Y198" s="7"/>
      <c r="Z198" s="7"/>
      <c r="AA198" s="23"/>
      <c r="AB198" s="23"/>
      <c r="AC198" s="82">
        <v>32</v>
      </c>
      <c r="AD198" s="23"/>
      <c r="AE198" s="7" t="s">
        <v>423</v>
      </c>
    </row>
    <row r="199" spans="1:31" x14ac:dyDescent="0.2">
      <c r="A199" s="141" t="s">
        <v>163</v>
      </c>
      <c r="B199" s="9">
        <v>0</v>
      </c>
      <c r="C199" s="9" t="s">
        <v>495</v>
      </c>
      <c r="D199" s="9">
        <v>0</v>
      </c>
      <c r="E199" s="9"/>
      <c r="F199" s="9" t="s">
        <v>495</v>
      </c>
      <c r="G199" s="4">
        <v>19749</v>
      </c>
      <c r="H199" s="4">
        <f t="shared" si="20"/>
        <v>19748.999999999996</v>
      </c>
      <c r="I199" s="24">
        <f t="shared" si="21"/>
        <v>1</v>
      </c>
      <c r="J199" s="23">
        <v>1150.96</v>
      </c>
      <c r="K199" s="23">
        <v>1150.96</v>
      </c>
      <c r="L199" s="23">
        <v>1150.96</v>
      </c>
      <c r="M199" s="23">
        <v>1712.28</v>
      </c>
      <c r="N199" s="23">
        <v>1712.23</v>
      </c>
      <c r="O199" s="23">
        <v>1712.23</v>
      </c>
      <c r="P199" s="23">
        <v>1712.23</v>
      </c>
      <c r="Q199" s="23">
        <v>1712.23</v>
      </c>
      <c r="R199" s="23">
        <v>1712.23</v>
      </c>
      <c r="S199" s="23">
        <v>1712.23</v>
      </c>
      <c r="T199" s="23">
        <v>1712.23</v>
      </c>
      <c r="U199" s="23">
        <v>2598.23</v>
      </c>
      <c r="V199" s="7" t="s">
        <v>643</v>
      </c>
      <c r="W199" s="23">
        <f t="shared" si="22"/>
        <v>0</v>
      </c>
      <c r="X199" s="7"/>
      <c r="Y199" s="7"/>
      <c r="Z199" s="7"/>
      <c r="AA199" s="23"/>
      <c r="AB199" s="23"/>
      <c r="AC199" s="82"/>
      <c r="AD199" s="23"/>
      <c r="AE199" s="7" t="s">
        <v>426</v>
      </c>
    </row>
    <row r="200" spans="1:31" x14ac:dyDescent="0.2">
      <c r="A200" s="141" t="s">
        <v>164</v>
      </c>
      <c r="B200" s="9" t="s">
        <v>495</v>
      </c>
      <c r="C200" s="9" t="s">
        <v>495</v>
      </c>
      <c r="D200" s="9">
        <v>0</v>
      </c>
      <c r="E200" s="9"/>
      <c r="F200" s="9">
        <v>0</v>
      </c>
      <c r="G200" s="4">
        <v>2807</v>
      </c>
      <c r="H200" s="4">
        <f t="shared" si="20"/>
        <v>2807</v>
      </c>
      <c r="I200" s="24">
        <f t="shared" si="21"/>
        <v>1</v>
      </c>
      <c r="J200" s="23">
        <v>0</v>
      </c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>
        <v>2681</v>
      </c>
      <c r="V200" s="7" t="s">
        <v>644</v>
      </c>
      <c r="W200" s="23">
        <f t="shared" si="22"/>
        <v>0</v>
      </c>
      <c r="X200" s="7"/>
      <c r="Y200" s="7"/>
      <c r="Z200" s="7"/>
      <c r="AA200" s="82"/>
      <c r="AB200" s="82"/>
      <c r="AC200" s="82">
        <v>126</v>
      </c>
      <c r="AD200" s="23"/>
      <c r="AE200" s="7" t="s">
        <v>426</v>
      </c>
    </row>
    <row r="201" spans="1:31" x14ac:dyDescent="0.2">
      <c r="A201" s="141" t="s">
        <v>165</v>
      </c>
      <c r="B201" s="9">
        <v>0</v>
      </c>
      <c r="C201" s="9" t="s">
        <v>495</v>
      </c>
      <c r="D201" s="9">
        <v>0</v>
      </c>
      <c r="E201" s="9"/>
      <c r="F201" s="9" t="s">
        <v>495</v>
      </c>
      <c r="G201" s="4">
        <v>12646</v>
      </c>
      <c r="H201" s="4">
        <f t="shared" si="20"/>
        <v>12646</v>
      </c>
      <c r="I201" s="24">
        <f t="shared" si="21"/>
        <v>1</v>
      </c>
      <c r="J201" s="23">
        <v>575.5</v>
      </c>
      <c r="K201" s="23">
        <v>575.5</v>
      </c>
      <c r="L201" s="23">
        <v>575.5</v>
      </c>
      <c r="M201" s="23">
        <v>1150.22</v>
      </c>
      <c r="N201" s="23">
        <v>1150.1600000000001</v>
      </c>
      <c r="O201" s="23">
        <v>1150.1600000000001</v>
      </c>
      <c r="P201" s="23">
        <v>1150.1600000000001</v>
      </c>
      <c r="Q201" s="23">
        <v>1150.1600000000001</v>
      </c>
      <c r="R201" s="23">
        <v>1150.1600000000001</v>
      </c>
      <c r="S201" s="23">
        <v>1150.1600000000001</v>
      </c>
      <c r="T201" s="23">
        <v>1150.1600000000001</v>
      </c>
      <c r="U201" s="23">
        <v>1150.1600000000001</v>
      </c>
      <c r="V201" s="7" t="s">
        <v>645</v>
      </c>
      <c r="W201" s="23">
        <f t="shared" si="22"/>
        <v>0</v>
      </c>
      <c r="X201" s="7"/>
      <c r="Y201" s="7"/>
      <c r="Z201" s="7"/>
      <c r="AA201" s="82"/>
      <c r="AB201" s="82"/>
      <c r="AC201" s="82">
        <v>568</v>
      </c>
      <c r="AD201" s="23"/>
      <c r="AE201" s="7" t="s">
        <v>426</v>
      </c>
    </row>
    <row r="202" spans="1:31" x14ac:dyDescent="0.2">
      <c r="A202" s="141" t="s">
        <v>166</v>
      </c>
      <c r="B202" s="9" t="s">
        <v>495</v>
      </c>
      <c r="C202" s="9" t="s">
        <v>495</v>
      </c>
      <c r="D202" s="9" t="s">
        <v>495</v>
      </c>
      <c r="E202" s="9"/>
      <c r="F202" s="9" t="s">
        <v>495</v>
      </c>
      <c r="G202" s="4">
        <v>26870</v>
      </c>
      <c r="H202" s="4">
        <f t="shared" si="20"/>
        <v>26870</v>
      </c>
      <c r="I202" s="24">
        <f t="shared" si="21"/>
        <v>1</v>
      </c>
      <c r="J202" s="23">
        <v>1000</v>
      </c>
      <c r="K202" s="23">
        <v>1000</v>
      </c>
      <c r="L202" s="23">
        <v>1000</v>
      </c>
      <c r="M202" s="23">
        <v>1000</v>
      </c>
      <c r="N202" s="23">
        <v>1000</v>
      </c>
      <c r="O202" s="23">
        <v>1000</v>
      </c>
      <c r="P202" s="23">
        <v>1000</v>
      </c>
      <c r="Q202" s="23">
        <v>1000</v>
      </c>
      <c r="R202" s="23">
        <v>1000</v>
      </c>
      <c r="S202" s="23">
        <v>1000</v>
      </c>
      <c r="T202" s="23">
        <v>6000</v>
      </c>
      <c r="U202" s="23">
        <v>10870</v>
      </c>
      <c r="V202" s="7" t="s">
        <v>646</v>
      </c>
      <c r="W202" s="23">
        <f t="shared" si="22"/>
        <v>0</v>
      </c>
      <c r="X202" s="7"/>
      <c r="Y202" s="7"/>
      <c r="Z202" s="7"/>
      <c r="AA202" s="82"/>
      <c r="AB202" s="82"/>
      <c r="AC202" s="82"/>
      <c r="AD202" s="23"/>
      <c r="AE202" s="7" t="s">
        <v>427</v>
      </c>
    </row>
    <row r="203" spans="1:31" x14ac:dyDescent="0.2">
      <c r="A203" s="141" t="s">
        <v>167</v>
      </c>
      <c r="B203" s="9" t="s">
        <v>495</v>
      </c>
      <c r="C203" s="9" t="s">
        <v>495</v>
      </c>
      <c r="D203" s="9">
        <v>0</v>
      </c>
      <c r="E203" s="9"/>
      <c r="F203" s="9" t="s">
        <v>495</v>
      </c>
      <c r="G203" s="4">
        <v>10797</v>
      </c>
      <c r="H203" s="4">
        <f t="shared" si="20"/>
        <v>10797</v>
      </c>
      <c r="I203" s="24">
        <f t="shared" si="21"/>
        <v>1</v>
      </c>
      <c r="J203" s="23">
        <v>876.66</v>
      </c>
      <c r="K203" s="23">
        <v>901.94</v>
      </c>
      <c r="L203" s="23">
        <v>901.84</v>
      </c>
      <c r="M203" s="23">
        <v>901.84</v>
      </c>
      <c r="N203" s="23">
        <v>901.84</v>
      </c>
      <c r="O203" s="23">
        <v>901.84</v>
      </c>
      <c r="P203" s="23">
        <v>901.84</v>
      </c>
      <c r="Q203" s="23">
        <v>901.84</v>
      </c>
      <c r="R203" s="23">
        <v>901.84</v>
      </c>
      <c r="S203" s="23">
        <v>901.84</v>
      </c>
      <c r="T203" s="23">
        <v>901.84</v>
      </c>
      <c r="U203" s="23">
        <v>901.84</v>
      </c>
      <c r="V203" s="7" t="s">
        <v>647</v>
      </c>
      <c r="W203" s="23">
        <f t="shared" si="22"/>
        <v>0</v>
      </c>
      <c r="X203" s="7"/>
      <c r="Y203" s="7"/>
      <c r="Z203" s="7"/>
      <c r="AA203" s="82"/>
      <c r="AB203" s="82"/>
      <c r="AC203" s="82"/>
      <c r="AD203" s="23"/>
      <c r="AE203" s="7" t="s">
        <v>427</v>
      </c>
    </row>
    <row r="204" spans="1:31" x14ac:dyDescent="0.2">
      <c r="A204" s="141" t="s">
        <v>168</v>
      </c>
      <c r="B204" s="9">
        <v>0</v>
      </c>
      <c r="C204" s="9" t="s">
        <v>495</v>
      </c>
      <c r="D204" s="9" t="s">
        <v>495</v>
      </c>
      <c r="E204" s="9"/>
      <c r="F204" s="9">
        <v>0</v>
      </c>
      <c r="G204" s="4">
        <v>2338</v>
      </c>
      <c r="H204" s="4">
        <f t="shared" si="20"/>
        <v>2338</v>
      </c>
      <c r="I204" s="24">
        <f t="shared" si="21"/>
        <v>1</v>
      </c>
      <c r="J204" s="23">
        <v>0</v>
      </c>
      <c r="K204" s="23">
        <v>233.8</v>
      </c>
      <c r="L204" s="23">
        <v>233.8</v>
      </c>
      <c r="M204" s="23">
        <v>233.8</v>
      </c>
      <c r="N204" s="23">
        <v>233.8</v>
      </c>
      <c r="O204" s="23">
        <v>233.8</v>
      </c>
      <c r="P204" s="23">
        <v>233.8</v>
      </c>
      <c r="Q204" s="23">
        <v>233.8</v>
      </c>
      <c r="R204" s="23">
        <v>233.8</v>
      </c>
      <c r="S204" s="23">
        <v>233.8</v>
      </c>
      <c r="T204" s="23">
        <v>233.8</v>
      </c>
      <c r="U204" s="23"/>
      <c r="V204" s="7" t="s">
        <v>648</v>
      </c>
      <c r="W204" s="23">
        <f t="shared" si="22"/>
        <v>0</v>
      </c>
      <c r="X204" s="7"/>
      <c r="Y204" s="7"/>
      <c r="Z204" s="7"/>
      <c r="AA204" s="82"/>
      <c r="AB204" s="82"/>
      <c r="AC204" s="82"/>
      <c r="AD204" s="23"/>
      <c r="AE204" s="7" t="s">
        <v>427</v>
      </c>
    </row>
    <row r="205" spans="1:31" x14ac:dyDescent="0.2">
      <c r="A205" s="141" t="s">
        <v>169</v>
      </c>
      <c r="B205" s="9" t="s">
        <v>495</v>
      </c>
      <c r="C205" s="9" t="s">
        <v>495</v>
      </c>
      <c r="D205" s="9" t="s">
        <v>495</v>
      </c>
      <c r="E205" s="9"/>
      <c r="F205" s="9">
        <v>0</v>
      </c>
      <c r="G205" s="4">
        <v>21563</v>
      </c>
      <c r="H205" s="4">
        <f t="shared" si="20"/>
        <v>16200</v>
      </c>
      <c r="I205" s="24">
        <f t="shared" si="21"/>
        <v>0.75129999999999997</v>
      </c>
      <c r="J205" s="23">
        <v>0</v>
      </c>
      <c r="K205" s="23"/>
      <c r="L205" s="23">
        <v>1800</v>
      </c>
      <c r="M205" s="23">
        <v>1800</v>
      </c>
      <c r="N205" s="23">
        <v>1800</v>
      </c>
      <c r="O205" s="23"/>
      <c r="P205" s="23">
        <v>1800</v>
      </c>
      <c r="Q205" s="23">
        <v>1800</v>
      </c>
      <c r="R205" s="23">
        <v>1800</v>
      </c>
      <c r="S205" s="23">
        <v>1800</v>
      </c>
      <c r="T205" s="23">
        <v>1800</v>
      </c>
      <c r="U205" s="23">
        <v>1800</v>
      </c>
      <c r="V205" s="7" t="s">
        <v>649</v>
      </c>
      <c r="W205" s="23">
        <f t="shared" si="22"/>
        <v>5363</v>
      </c>
      <c r="X205" s="7"/>
      <c r="Y205" s="7"/>
      <c r="Z205" s="7"/>
      <c r="AA205" s="82"/>
      <c r="AB205" s="82"/>
      <c r="AC205" s="82"/>
      <c r="AD205" s="23"/>
      <c r="AE205" s="7" t="s">
        <v>424</v>
      </c>
    </row>
    <row r="206" spans="1:31" x14ac:dyDescent="0.2">
      <c r="A206" s="141" t="s">
        <v>170</v>
      </c>
      <c r="B206" s="9" t="s">
        <v>495</v>
      </c>
      <c r="C206" s="9" t="s">
        <v>495</v>
      </c>
      <c r="D206" s="9" t="s">
        <v>495</v>
      </c>
      <c r="E206" s="9"/>
      <c r="F206" s="9" t="s">
        <v>495</v>
      </c>
      <c r="G206" s="4">
        <v>1252</v>
      </c>
      <c r="H206" s="4">
        <f t="shared" si="20"/>
        <v>1252</v>
      </c>
      <c r="I206" s="24">
        <f t="shared" si="21"/>
        <v>1</v>
      </c>
      <c r="J206" s="23">
        <v>104.37</v>
      </c>
      <c r="K206" s="23">
        <v>104.33</v>
      </c>
      <c r="L206" s="23">
        <v>104.33</v>
      </c>
      <c r="M206" s="23">
        <v>104.33</v>
      </c>
      <c r="N206" s="23">
        <v>104.33</v>
      </c>
      <c r="O206" s="23">
        <v>104.33</v>
      </c>
      <c r="P206" s="23">
        <v>104.33</v>
      </c>
      <c r="Q206" s="23">
        <v>104.33</v>
      </c>
      <c r="R206" s="23">
        <v>104.33</v>
      </c>
      <c r="S206" s="23">
        <v>104.33</v>
      </c>
      <c r="T206" s="23">
        <v>104.33</v>
      </c>
      <c r="U206" s="23">
        <v>104.33</v>
      </c>
      <c r="V206" s="7" t="s">
        <v>650</v>
      </c>
      <c r="W206" s="23">
        <f t="shared" si="22"/>
        <v>0</v>
      </c>
      <c r="X206" s="7"/>
      <c r="Y206" s="7"/>
      <c r="Z206" s="7"/>
      <c r="AA206" s="82"/>
      <c r="AB206" s="82"/>
      <c r="AC206" s="82"/>
      <c r="AD206" s="23"/>
      <c r="AE206" s="7" t="s">
        <v>424</v>
      </c>
    </row>
    <row r="207" spans="1:31" x14ac:dyDescent="0.2">
      <c r="A207" s="141" t="s">
        <v>171</v>
      </c>
      <c r="B207" s="9" t="s">
        <v>495</v>
      </c>
      <c r="C207" s="9">
        <v>0</v>
      </c>
      <c r="D207" s="9" t="s">
        <v>495</v>
      </c>
      <c r="E207" s="9"/>
      <c r="F207" s="9">
        <v>0</v>
      </c>
      <c r="G207" s="4">
        <v>5866</v>
      </c>
      <c r="H207" s="4">
        <f t="shared" si="20"/>
        <v>5497.9199999999992</v>
      </c>
      <c r="I207" s="24">
        <f t="shared" si="21"/>
        <v>0.93730000000000002</v>
      </c>
      <c r="J207" s="23">
        <v>458.16</v>
      </c>
      <c r="K207" s="23">
        <v>458.16</v>
      </c>
      <c r="L207" s="23">
        <v>458.16</v>
      </c>
      <c r="M207" s="23">
        <v>458.16</v>
      </c>
      <c r="N207" s="23">
        <v>458.16</v>
      </c>
      <c r="O207" s="23">
        <v>458.16</v>
      </c>
      <c r="P207" s="23">
        <v>458.16</v>
      </c>
      <c r="Q207" s="23">
        <v>458.16</v>
      </c>
      <c r="R207" s="23">
        <v>458.16</v>
      </c>
      <c r="S207" s="23">
        <v>458.16</v>
      </c>
      <c r="T207" s="23">
        <v>458.16</v>
      </c>
      <c r="U207" s="23">
        <v>458.16</v>
      </c>
      <c r="V207" s="7" t="s">
        <v>651</v>
      </c>
      <c r="W207" s="23">
        <f t="shared" si="22"/>
        <v>368.08000000000084</v>
      </c>
      <c r="X207" s="7"/>
      <c r="Y207" s="7"/>
      <c r="Z207" s="7"/>
      <c r="AA207" s="82"/>
      <c r="AB207" s="82"/>
      <c r="AC207" s="82"/>
      <c r="AD207" s="23"/>
      <c r="AE207" s="7" t="s">
        <v>421</v>
      </c>
    </row>
    <row r="208" spans="1:31" x14ac:dyDescent="0.2">
      <c r="A208" s="141" t="s">
        <v>172</v>
      </c>
      <c r="B208" s="9" t="s">
        <v>495</v>
      </c>
      <c r="C208" s="9" t="s">
        <v>495</v>
      </c>
      <c r="D208" s="9" t="s">
        <v>495</v>
      </c>
      <c r="E208" s="9"/>
      <c r="F208" s="9" t="s">
        <v>495</v>
      </c>
      <c r="G208" s="4">
        <v>3627</v>
      </c>
      <c r="H208" s="4">
        <f t="shared" si="20"/>
        <v>3627</v>
      </c>
      <c r="I208" s="24">
        <f t="shared" si="21"/>
        <v>1</v>
      </c>
      <c r="J208" s="23">
        <v>302.25</v>
      </c>
      <c r="K208" s="23">
        <v>302.25</v>
      </c>
      <c r="L208" s="23">
        <v>302.25</v>
      </c>
      <c r="M208" s="23">
        <v>302.25</v>
      </c>
      <c r="N208" s="23">
        <v>302.25</v>
      </c>
      <c r="O208" s="23">
        <v>302.25</v>
      </c>
      <c r="P208" s="23">
        <v>302.25</v>
      </c>
      <c r="Q208" s="23">
        <v>302.25</v>
      </c>
      <c r="R208" s="23">
        <v>302.25</v>
      </c>
      <c r="S208" s="23">
        <v>302.25</v>
      </c>
      <c r="T208" s="23">
        <v>302.25</v>
      </c>
      <c r="U208" s="23">
        <v>302.25</v>
      </c>
      <c r="V208" s="7" t="s">
        <v>652</v>
      </c>
      <c r="W208" s="23">
        <f t="shared" si="22"/>
        <v>0</v>
      </c>
      <c r="X208" s="7"/>
      <c r="Y208" s="7"/>
      <c r="Z208" s="7"/>
      <c r="AA208" s="82"/>
      <c r="AB208" s="82"/>
      <c r="AC208" s="82"/>
      <c r="AD208" s="23"/>
      <c r="AE208" s="7" t="s">
        <v>421</v>
      </c>
    </row>
    <row r="209" spans="1:34" x14ac:dyDescent="0.2">
      <c r="A209" s="141" t="s">
        <v>173</v>
      </c>
      <c r="B209" s="9" t="s">
        <v>495</v>
      </c>
      <c r="C209" s="9">
        <v>0</v>
      </c>
      <c r="D209" s="9">
        <v>0</v>
      </c>
      <c r="E209" s="9"/>
      <c r="F209" s="9">
        <v>0</v>
      </c>
      <c r="G209" s="4">
        <v>4120</v>
      </c>
      <c r="H209" s="4">
        <f t="shared" si="20"/>
        <v>1477</v>
      </c>
      <c r="I209" s="24">
        <f t="shared" si="21"/>
        <v>0.35849999999999999</v>
      </c>
      <c r="J209" s="23">
        <v>0</v>
      </c>
      <c r="K209" s="23">
        <v>720</v>
      </c>
      <c r="L209" s="23">
        <v>145</v>
      </c>
      <c r="M209" s="23"/>
      <c r="N209" s="23"/>
      <c r="O209" s="23"/>
      <c r="P209" s="23"/>
      <c r="Q209" s="23"/>
      <c r="R209" s="23"/>
      <c r="S209" s="23"/>
      <c r="T209" s="23">
        <v>612</v>
      </c>
      <c r="U209" s="23"/>
      <c r="V209" s="7" t="s">
        <v>653</v>
      </c>
      <c r="W209" s="23">
        <f t="shared" si="22"/>
        <v>2643</v>
      </c>
      <c r="X209" s="7"/>
      <c r="Y209" s="7"/>
      <c r="Z209" s="7"/>
      <c r="AA209" s="82"/>
      <c r="AB209" s="82"/>
      <c r="AC209" s="82"/>
      <c r="AD209" s="23"/>
      <c r="AE209" s="7" t="s">
        <v>421</v>
      </c>
    </row>
    <row r="210" spans="1:34" x14ac:dyDescent="0.2">
      <c r="A210" s="141" t="s">
        <v>174</v>
      </c>
      <c r="B210" s="9" t="s">
        <v>495</v>
      </c>
      <c r="C210" s="9" t="s">
        <v>495</v>
      </c>
      <c r="D210" s="9" t="s">
        <v>495</v>
      </c>
      <c r="E210" s="9"/>
      <c r="F210" s="9">
        <v>0</v>
      </c>
      <c r="G210" s="4">
        <v>7754</v>
      </c>
      <c r="H210" s="4">
        <f t="shared" si="20"/>
        <v>7711</v>
      </c>
      <c r="I210" s="24">
        <f t="shared" si="21"/>
        <v>0.99450000000000005</v>
      </c>
      <c r="J210" s="23">
        <v>0</v>
      </c>
      <c r="K210" s="23">
        <v>2000</v>
      </c>
      <c r="L210" s="23"/>
      <c r="M210" s="23">
        <v>1000</v>
      </c>
      <c r="N210" s="23"/>
      <c r="O210" s="23"/>
      <c r="P210" s="23">
        <v>3500</v>
      </c>
      <c r="Q210" s="23"/>
      <c r="R210" s="23"/>
      <c r="S210" s="23"/>
      <c r="T210" s="23"/>
      <c r="U210" s="23">
        <v>1211</v>
      </c>
      <c r="V210" s="7" t="s">
        <v>654</v>
      </c>
      <c r="W210" s="23">
        <f t="shared" si="22"/>
        <v>43</v>
      </c>
      <c r="X210" s="7"/>
      <c r="Y210" s="7"/>
      <c r="Z210" s="7"/>
      <c r="AA210" s="82"/>
      <c r="AB210" s="82"/>
      <c r="AC210" s="82"/>
      <c r="AD210" s="23"/>
      <c r="AE210" s="7" t="s">
        <v>423</v>
      </c>
    </row>
    <row r="211" spans="1:34" x14ac:dyDescent="0.2">
      <c r="W211" s="3"/>
      <c r="AA211" s="82"/>
      <c r="AB211" s="82"/>
      <c r="AC211" s="82"/>
    </row>
    <row r="212" spans="1:34" x14ac:dyDescent="0.2">
      <c r="A212" t="s">
        <v>6</v>
      </c>
      <c r="G212" s="17">
        <f>SUM(G167:G211)</f>
        <v>600487</v>
      </c>
      <c r="H212" s="11">
        <f t="shared" ref="H212:U212" si="23">SUM(H167:H211)</f>
        <v>456671.17</v>
      </c>
      <c r="I212" s="4"/>
      <c r="J212" s="4">
        <f t="shared" si="23"/>
        <v>19464.05</v>
      </c>
      <c r="K212" s="4">
        <f t="shared" si="23"/>
        <v>32016.750000000004</v>
      </c>
      <c r="L212" s="4">
        <f t="shared" si="23"/>
        <v>31352.420000000002</v>
      </c>
      <c r="M212" s="4">
        <f t="shared" si="23"/>
        <v>27225.34</v>
      </c>
      <c r="N212" s="4">
        <f t="shared" si="23"/>
        <v>26350.15</v>
      </c>
      <c r="O212" s="4">
        <f t="shared" si="23"/>
        <v>31841.15</v>
      </c>
      <c r="P212" s="4">
        <f t="shared" si="23"/>
        <v>51035.650000000009</v>
      </c>
      <c r="Q212" s="4">
        <f t="shared" si="23"/>
        <v>29927.15</v>
      </c>
      <c r="R212" s="4">
        <f t="shared" si="23"/>
        <v>32519.15</v>
      </c>
      <c r="S212" s="4">
        <f t="shared" si="23"/>
        <v>31778.820000000003</v>
      </c>
      <c r="T212" s="4">
        <f t="shared" si="23"/>
        <v>53040.920000000013</v>
      </c>
      <c r="U212" s="4">
        <f t="shared" si="23"/>
        <v>82393.62000000001</v>
      </c>
      <c r="V212" s="77"/>
      <c r="W212" s="3">
        <f>G212-H212</f>
        <v>143815.83000000002</v>
      </c>
      <c r="X212" s="4"/>
      <c r="Y212" s="4"/>
      <c r="Z212" s="4"/>
      <c r="AA212" s="83">
        <f t="shared" ref="AA212:AC212" si="24">SUM(AA167:AA211)</f>
        <v>0</v>
      </c>
      <c r="AB212" s="83">
        <f t="shared" si="24"/>
        <v>7000</v>
      </c>
      <c r="AC212" s="83">
        <f t="shared" si="24"/>
        <v>726</v>
      </c>
      <c r="AH212" s="4">
        <f>ROUND(SUM(J212:U212),0)</f>
        <v>448945</v>
      </c>
    </row>
    <row r="213" spans="1:34" x14ac:dyDescent="0.2">
      <c r="W213" s="3"/>
    </row>
    <row r="214" spans="1:34" x14ac:dyDescent="0.2">
      <c r="W214" s="3"/>
    </row>
    <row r="215" spans="1:34" ht="15.75" x14ac:dyDescent="0.25">
      <c r="G215" s="150" t="s">
        <v>11</v>
      </c>
      <c r="W215" s="3"/>
    </row>
    <row r="216" spans="1:34" x14ac:dyDescent="0.2">
      <c r="W216" s="3"/>
    </row>
    <row r="217" spans="1:34" ht="16.5" x14ac:dyDescent="0.25">
      <c r="B217" s="8"/>
      <c r="C217" s="8"/>
      <c r="E217" s="8"/>
      <c r="F217" s="8"/>
      <c r="G217" s="20" t="str">
        <f>$G$3</f>
        <v>2020 PARISH SHARE INFORMATION</v>
      </c>
      <c r="H217" s="14"/>
      <c r="W217" s="3"/>
    </row>
    <row r="218" spans="1:34" x14ac:dyDescent="0.2">
      <c r="G218" s="19"/>
      <c r="H218" s="13"/>
      <c r="W218" s="3"/>
    </row>
    <row r="219" spans="1:34" ht="16.5" x14ac:dyDescent="0.25">
      <c r="A219" s="1" t="s">
        <v>1</v>
      </c>
      <c r="B219" s="151" t="str">
        <f>$B$5</f>
        <v>RM</v>
      </c>
      <c r="C219" s="151" t="str">
        <f>$C$5</f>
        <v>RF</v>
      </c>
      <c r="D219" s="151" t="str">
        <f>$D$5</f>
        <v>Accts</v>
      </c>
      <c r="E219" s="151"/>
      <c r="F219" s="151" t="str">
        <f>$F$5</f>
        <v>Share DD</v>
      </c>
      <c r="G219" s="153" t="str">
        <f>$G$5</f>
        <v xml:space="preserve">2020 Share </v>
      </c>
      <c r="H219" s="154" t="str">
        <f>$H$5</f>
        <v xml:space="preserve">2020 Paid </v>
      </c>
      <c r="I219" s="154" t="str">
        <f>$I$5</f>
        <v xml:space="preserve">% Paid </v>
      </c>
      <c r="J219" s="155">
        <f>$J$5</f>
        <v>43861</v>
      </c>
      <c r="K219" s="155">
        <f>$K$5</f>
        <v>43890</v>
      </c>
      <c r="L219" s="155">
        <f>$L$5</f>
        <v>43921</v>
      </c>
      <c r="M219" s="155">
        <f>$M$5</f>
        <v>43951</v>
      </c>
      <c r="N219" s="155">
        <f>$N$5</f>
        <v>43982</v>
      </c>
      <c r="O219" s="155">
        <f>$O$5</f>
        <v>44012</v>
      </c>
      <c r="P219" s="155">
        <f>$P$5</f>
        <v>44043</v>
      </c>
      <c r="Q219" s="155">
        <f>$Q$5</f>
        <v>44074</v>
      </c>
      <c r="R219" s="155">
        <f>$R$5</f>
        <v>44104</v>
      </c>
      <c r="S219" s="155">
        <f>$S$5</f>
        <v>44135</v>
      </c>
      <c r="T219" s="155">
        <f>$T$5</f>
        <v>44165</v>
      </c>
      <c r="U219" s="155">
        <f>$U$5</f>
        <v>44196</v>
      </c>
      <c r="V219" s="78"/>
      <c r="W219" s="157" t="str">
        <f>$W$5</f>
        <v xml:space="preserve">Outstanding </v>
      </c>
      <c r="X219" s="2"/>
      <c r="Y219" s="2"/>
      <c r="Z219" s="2"/>
      <c r="AA219" s="173">
        <v>44197</v>
      </c>
      <c r="AB219" s="173">
        <v>44228</v>
      </c>
      <c r="AC219" s="173">
        <v>44256</v>
      </c>
      <c r="AE219" s="152" t="str">
        <f>$AE$5</f>
        <v>Benefice</v>
      </c>
    </row>
    <row r="220" spans="1:34" ht="16.5" x14ac:dyDescent="0.25">
      <c r="G220" s="146" t="s">
        <v>1040</v>
      </c>
      <c r="H220" s="147" t="s">
        <v>1040</v>
      </c>
      <c r="I220" s="148"/>
      <c r="J220" s="147" t="s">
        <v>1040</v>
      </c>
      <c r="K220" s="147" t="s">
        <v>1040</v>
      </c>
      <c r="L220" s="147" t="s">
        <v>1040</v>
      </c>
      <c r="M220" s="147" t="s">
        <v>1040</v>
      </c>
      <c r="N220" s="147" t="s">
        <v>1040</v>
      </c>
      <c r="O220" s="147" t="s">
        <v>1040</v>
      </c>
      <c r="P220" s="147" t="s">
        <v>1040</v>
      </c>
      <c r="Q220" s="147" t="s">
        <v>1040</v>
      </c>
      <c r="R220" s="147" t="s">
        <v>1040</v>
      </c>
      <c r="S220" s="147" t="s">
        <v>1040</v>
      </c>
      <c r="T220" s="147" t="s">
        <v>1040</v>
      </c>
      <c r="U220" s="147" t="s">
        <v>1040</v>
      </c>
      <c r="W220" s="3"/>
      <c r="AA220" s="174" t="s">
        <v>1040</v>
      </c>
      <c r="AB220" s="174" t="s">
        <v>1040</v>
      </c>
      <c r="AC220" s="174" t="s">
        <v>1040</v>
      </c>
    </row>
    <row r="221" spans="1:34" x14ac:dyDescent="0.2">
      <c r="W221" s="3"/>
    </row>
    <row r="222" spans="1:34" x14ac:dyDescent="0.2">
      <c r="A222" s="141" t="s">
        <v>175</v>
      </c>
      <c r="B222" s="9" t="s">
        <v>495</v>
      </c>
      <c r="C222" s="9" t="s">
        <v>495</v>
      </c>
      <c r="D222" s="9" t="s">
        <v>495</v>
      </c>
      <c r="E222" s="9"/>
      <c r="F222" s="9">
        <v>0</v>
      </c>
      <c r="G222" s="4">
        <v>22679</v>
      </c>
      <c r="H222" s="4">
        <f t="shared" ref="H222:H253" si="25">SUM(J222:U222)+SUM(AA222:AC222)</f>
        <v>11900</v>
      </c>
      <c r="I222" s="24">
        <f t="shared" ref="I222:I253" si="26">ROUND((H222/G222),4)</f>
        <v>0.52470000000000006</v>
      </c>
      <c r="J222" s="23">
        <v>0</v>
      </c>
      <c r="K222" s="23">
        <v>1300</v>
      </c>
      <c r="L222" s="23"/>
      <c r="M222" s="23">
        <v>800</v>
      </c>
      <c r="N222" s="23">
        <v>2500</v>
      </c>
      <c r="O222" s="23">
        <v>1200</v>
      </c>
      <c r="P222" s="23">
        <v>800</v>
      </c>
      <c r="Q222" s="23">
        <v>1000</v>
      </c>
      <c r="R222" s="23">
        <v>1000</v>
      </c>
      <c r="S222" s="23">
        <v>500</v>
      </c>
      <c r="T222" s="23">
        <v>800</v>
      </c>
      <c r="U222" s="23">
        <v>2000</v>
      </c>
      <c r="V222" s="7" t="s">
        <v>655</v>
      </c>
      <c r="W222" s="23">
        <f t="shared" ref="W222:W253" si="27">G222-H222</f>
        <v>10779</v>
      </c>
      <c r="X222" s="7"/>
      <c r="Y222" s="4"/>
      <c r="Z222" s="4"/>
      <c r="AA222" s="82"/>
      <c r="AB222" s="82"/>
      <c r="AC222" s="82"/>
      <c r="AD222" s="23"/>
      <c r="AE222" s="7" t="s">
        <v>437</v>
      </c>
    </row>
    <row r="223" spans="1:34" x14ac:dyDescent="0.2">
      <c r="A223" s="141" t="s">
        <v>176</v>
      </c>
      <c r="B223" s="9" t="s">
        <v>495</v>
      </c>
      <c r="C223" s="9" t="s">
        <v>495</v>
      </c>
      <c r="D223" s="9">
        <v>0</v>
      </c>
      <c r="E223" s="9"/>
      <c r="F223" s="9">
        <v>0</v>
      </c>
      <c r="G223" s="4">
        <v>4123</v>
      </c>
      <c r="H223" s="4">
        <f t="shared" si="25"/>
        <v>500</v>
      </c>
      <c r="I223" s="24">
        <f t="shared" si="26"/>
        <v>0.12130000000000001</v>
      </c>
      <c r="J223" s="23">
        <v>0</v>
      </c>
      <c r="K223" s="23"/>
      <c r="L223" s="23"/>
      <c r="M223" s="23"/>
      <c r="N223" s="23">
        <v>500</v>
      </c>
      <c r="O223" s="23"/>
      <c r="P223" s="23"/>
      <c r="Q223" s="23"/>
      <c r="R223" s="23"/>
      <c r="S223" s="23"/>
      <c r="T223" s="23"/>
      <c r="U223" s="23"/>
      <c r="V223" s="7" t="s">
        <v>656</v>
      </c>
      <c r="W223" s="23">
        <f t="shared" si="27"/>
        <v>3623</v>
      </c>
      <c r="X223" s="7"/>
      <c r="Y223" s="7"/>
      <c r="Z223" s="7"/>
      <c r="AA223" s="82"/>
      <c r="AB223" s="82"/>
      <c r="AC223" s="82"/>
      <c r="AD223" s="23"/>
      <c r="AE223" s="7" t="s">
        <v>437</v>
      </c>
    </row>
    <row r="224" spans="1:34" x14ac:dyDescent="0.2">
      <c r="A224" s="141" t="s">
        <v>177</v>
      </c>
      <c r="B224" s="9" t="s">
        <v>495</v>
      </c>
      <c r="C224" s="9" t="s">
        <v>495</v>
      </c>
      <c r="D224" s="9" t="s">
        <v>495</v>
      </c>
      <c r="E224" s="9"/>
      <c r="F224" s="9">
        <v>0</v>
      </c>
      <c r="G224" s="4">
        <v>69605</v>
      </c>
      <c r="H224" s="4">
        <f t="shared" si="25"/>
        <v>47000</v>
      </c>
      <c r="I224" s="24">
        <f t="shared" si="26"/>
        <v>0.67520000000000002</v>
      </c>
      <c r="J224" s="23">
        <v>6000</v>
      </c>
      <c r="K224" s="23">
        <v>6000</v>
      </c>
      <c r="L224" s="23">
        <v>3500</v>
      </c>
      <c r="M224" s="23">
        <v>3500</v>
      </c>
      <c r="N224" s="23">
        <v>3500</v>
      </c>
      <c r="O224" s="23">
        <v>3500</v>
      </c>
      <c r="P224" s="23">
        <v>3500</v>
      </c>
      <c r="Q224" s="23">
        <v>3500</v>
      </c>
      <c r="R224" s="23">
        <v>3500</v>
      </c>
      <c r="S224" s="23">
        <v>3500</v>
      </c>
      <c r="T224" s="23">
        <v>3500</v>
      </c>
      <c r="U224" s="23">
        <v>3500</v>
      </c>
      <c r="V224" s="7" t="s">
        <v>657</v>
      </c>
      <c r="W224" s="23">
        <f t="shared" si="27"/>
        <v>22605</v>
      </c>
      <c r="X224" s="7"/>
      <c r="Y224" s="7"/>
      <c r="Z224" s="7"/>
      <c r="AA224" s="82"/>
      <c r="AB224" s="82"/>
      <c r="AC224" s="82"/>
      <c r="AD224" s="23"/>
      <c r="AE224" s="7" t="s">
        <v>428</v>
      </c>
    </row>
    <row r="225" spans="1:31" x14ac:dyDescent="0.2">
      <c r="A225" s="141" t="s">
        <v>178</v>
      </c>
      <c r="B225" s="9" t="s">
        <v>495</v>
      </c>
      <c r="C225" s="9" t="s">
        <v>495</v>
      </c>
      <c r="D225" s="9">
        <v>0</v>
      </c>
      <c r="E225" s="9"/>
      <c r="F225" s="9" t="s">
        <v>495</v>
      </c>
      <c r="G225" s="4">
        <v>23396</v>
      </c>
      <c r="H225" s="4">
        <f t="shared" si="25"/>
        <v>23396</v>
      </c>
      <c r="I225" s="24">
        <f t="shared" si="26"/>
        <v>1</v>
      </c>
      <c r="J225" s="23">
        <v>1949.74</v>
      </c>
      <c r="K225" s="23">
        <v>1949.66</v>
      </c>
      <c r="L225" s="23">
        <v>1949.66</v>
      </c>
      <c r="M225" s="23">
        <v>1949.66</v>
      </c>
      <c r="N225" s="23">
        <v>1949.66</v>
      </c>
      <c r="O225" s="23">
        <v>1949.66</v>
      </c>
      <c r="P225" s="23">
        <v>1949.66</v>
      </c>
      <c r="Q225" s="23">
        <v>1949.66</v>
      </c>
      <c r="R225" s="23">
        <v>1949.66</v>
      </c>
      <c r="S225" s="23">
        <v>1949.66</v>
      </c>
      <c r="T225" s="23">
        <v>1949.66</v>
      </c>
      <c r="U225" s="23">
        <v>1949.66</v>
      </c>
      <c r="V225" s="7" t="s">
        <v>658</v>
      </c>
      <c r="W225" s="23">
        <f t="shared" si="27"/>
        <v>0</v>
      </c>
      <c r="X225" s="7"/>
      <c r="Y225" s="7"/>
      <c r="Z225" s="7"/>
      <c r="AA225" s="82"/>
      <c r="AB225" s="82"/>
      <c r="AC225" s="82"/>
      <c r="AD225" s="23"/>
      <c r="AE225" s="7" t="s">
        <v>429</v>
      </c>
    </row>
    <row r="226" spans="1:31" x14ac:dyDescent="0.2">
      <c r="A226" s="141" t="s">
        <v>179</v>
      </c>
      <c r="B226" s="9" t="s">
        <v>495</v>
      </c>
      <c r="C226" s="9" t="s">
        <v>495</v>
      </c>
      <c r="D226" s="9" t="s">
        <v>495</v>
      </c>
      <c r="E226" s="9"/>
      <c r="F226" s="9">
        <v>0</v>
      </c>
      <c r="G226" s="4">
        <v>23396</v>
      </c>
      <c r="H226" s="4">
        <f t="shared" si="25"/>
        <v>16250</v>
      </c>
      <c r="I226" s="24">
        <f t="shared" si="26"/>
        <v>0.6946</v>
      </c>
      <c r="J226" s="23">
        <v>800</v>
      </c>
      <c r="K226" s="23"/>
      <c r="L226" s="23">
        <v>1200</v>
      </c>
      <c r="M226" s="23"/>
      <c r="N226" s="23">
        <v>1800</v>
      </c>
      <c r="O226" s="23">
        <v>4000</v>
      </c>
      <c r="P226" s="23">
        <v>1200</v>
      </c>
      <c r="Q226" s="23">
        <v>1800</v>
      </c>
      <c r="R226" s="23">
        <v>1300</v>
      </c>
      <c r="S226" s="23">
        <v>1200</v>
      </c>
      <c r="T226" s="23">
        <v>750</v>
      </c>
      <c r="U226" s="23">
        <v>2200</v>
      </c>
      <c r="V226" s="7" t="s">
        <v>659</v>
      </c>
      <c r="W226" s="23">
        <f t="shared" si="27"/>
        <v>7146</v>
      </c>
      <c r="X226" s="7"/>
      <c r="Y226" s="7"/>
      <c r="Z226" s="7"/>
      <c r="AA226" s="82"/>
      <c r="AB226" s="82"/>
      <c r="AC226" s="82"/>
      <c r="AD226" s="23"/>
      <c r="AE226" s="7" t="s">
        <v>429</v>
      </c>
    </row>
    <row r="227" spans="1:31" x14ac:dyDescent="0.2">
      <c r="A227" s="141" t="s">
        <v>180</v>
      </c>
      <c r="B227" s="9" t="s">
        <v>495</v>
      </c>
      <c r="C227" s="9" t="s">
        <v>495</v>
      </c>
      <c r="D227" s="9">
        <v>0</v>
      </c>
      <c r="E227" s="9"/>
      <c r="F227" s="9">
        <v>0</v>
      </c>
      <c r="G227" s="4">
        <v>23396</v>
      </c>
      <c r="H227" s="4">
        <f t="shared" si="25"/>
        <v>23396</v>
      </c>
      <c r="I227" s="24">
        <f t="shared" si="26"/>
        <v>1</v>
      </c>
      <c r="J227" s="23">
        <v>1500</v>
      </c>
      <c r="K227" s="23"/>
      <c r="L227" s="23">
        <v>1500</v>
      </c>
      <c r="M227" s="23">
        <v>3500</v>
      </c>
      <c r="N227" s="23"/>
      <c r="O227" s="23">
        <v>1500</v>
      </c>
      <c r="P227" s="23">
        <v>2000</v>
      </c>
      <c r="Q227" s="23">
        <v>4000</v>
      </c>
      <c r="R227" s="23"/>
      <c r="S227" s="23">
        <v>2000</v>
      </c>
      <c r="T227" s="23"/>
      <c r="U227" s="23">
        <v>7396</v>
      </c>
      <c r="V227" s="7" t="s">
        <v>660</v>
      </c>
      <c r="W227" s="23">
        <f t="shared" si="27"/>
        <v>0</v>
      </c>
      <c r="X227" s="7"/>
      <c r="Y227" s="7"/>
      <c r="Z227" s="7"/>
      <c r="AA227" s="82"/>
      <c r="AB227" s="82"/>
      <c r="AC227" s="82"/>
      <c r="AD227" s="23"/>
      <c r="AE227" s="7" t="s">
        <v>429</v>
      </c>
    </row>
    <row r="228" spans="1:31" x14ac:dyDescent="0.2">
      <c r="A228" s="141" t="s">
        <v>181</v>
      </c>
      <c r="B228" s="9" t="s">
        <v>495</v>
      </c>
      <c r="C228" s="9" t="s">
        <v>495</v>
      </c>
      <c r="D228" s="9" t="s">
        <v>495</v>
      </c>
      <c r="E228" s="9"/>
      <c r="F228" s="9" t="s">
        <v>495</v>
      </c>
      <c r="G228" s="4">
        <v>6013</v>
      </c>
      <c r="H228" s="4">
        <f t="shared" si="25"/>
        <v>1200</v>
      </c>
      <c r="I228" s="24">
        <f t="shared" si="26"/>
        <v>0.1996</v>
      </c>
      <c r="J228" s="23">
        <v>100</v>
      </c>
      <c r="K228" s="23">
        <v>100</v>
      </c>
      <c r="L228" s="23">
        <v>100</v>
      </c>
      <c r="M228" s="23">
        <v>100</v>
      </c>
      <c r="N228" s="23">
        <v>100</v>
      </c>
      <c r="O228" s="23">
        <v>100</v>
      </c>
      <c r="P228" s="23">
        <v>100</v>
      </c>
      <c r="Q228" s="23">
        <v>100</v>
      </c>
      <c r="R228" s="23">
        <v>100</v>
      </c>
      <c r="S228" s="23">
        <v>100</v>
      </c>
      <c r="T228" s="23">
        <v>100</v>
      </c>
      <c r="U228" s="23">
        <v>100</v>
      </c>
      <c r="V228" s="7" t="s">
        <v>661</v>
      </c>
      <c r="W228" s="23">
        <f t="shared" si="27"/>
        <v>4813</v>
      </c>
      <c r="X228" s="7"/>
      <c r="Y228" s="7"/>
      <c r="Z228" s="7"/>
      <c r="AA228" s="23"/>
      <c r="AB228" s="23"/>
      <c r="AC228" s="82"/>
      <c r="AD228" s="23"/>
      <c r="AE228" s="7" t="s">
        <v>430</v>
      </c>
    </row>
    <row r="229" spans="1:31" x14ac:dyDescent="0.2">
      <c r="A229" s="141" t="s">
        <v>182</v>
      </c>
      <c r="B229" s="9" t="s">
        <v>495</v>
      </c>
      <c r="C229" s="9" t="s">
        <v>495</v>
      </c>
      <c r="D229" s="9" t="s">
        <v>495</v>
      </c>
      <c r="E229" s="9"/>
      <c r="F229" s="9" t="s">
        <v>495</v>
      </c>
      <c r="G229" s="4">
        <v>15032</v>
      </c>
      <c r="H229" s="4">
        <f t="shared" si="25"/>
        <v>7000</v>
      </c>
      <c r="I229" s="24">
        <f t="shared" si="26"/>
        <v>0.4657</v>
      </c>
      <c r="J229" s="23">
        <v>250</v>
      </c>
      <c r="K229" s="23">
        <v>250</v>
      </c>
      <c r="L229" s="23">
        <v>250</v>
      </c>
      <c r="M229" s="23">
        <v>250</v>
      </c>
      <c r="N229" s="23">
        <v>250</v>
      </c>
      <c r="O229" s="23">
        <v>250</v>
      </c>
      <c r="P229" s="23">
        <v>1250</v>
      </c>
      <c r="Q229" s="23">
        <v>250</v>
      </c>
      <c r="R229" s="23">
        <v>250</v>
      </c>
      <c r="S229" s="23">
        <v>250</v>
      </c>
      <c r="T229" s="23">
        <v>3250</v>
      </c>
      <c r="U229" s="23">
        <v>250</v>
      </c>
      <c r="V229" s="7" t="s">
        <v>662</v>
      </c>
      <c r="W229" s="23">
        <f t="shared" si="27"/>
        <v>8032</v>
      </c>
      <c r="X229" s="7"/>
      <c r="Y229" s="7"/>
      <c r="Z229" s="7"/>
      <c r="AA229" s="23"/>
      <c r="AB229" s="23"/>
      <c r="AC229" s="82"/>
      <c r="AD229" s="23"/>
      <c r="AE229" s="7" t="s">
        <v>430</v>
      </c>
    </row>
    <row r="230" spans="1:31" x14ac:dyDescent="0.2">
      <c r="A230" s="141" t="s">
        <v>183</v>
      </c>
      <c r="B230" s="9" t="s">
        <v>495</v>
      </c>
      <c r="C230" s="9" t="s">
        <v>495</v>
      </c>
      <c r="D230" s="9" t="s">
        <v>495</v>
      </c>
      <c r="E230" s="9"/>
      <c r="F230" s="9">
        <v>0</v>
      </c>
      <c r="G230" s="4">
        <v>20294</v>
      </c>
      <c r="H230" s="4">
        <f t="shared" si="25"/>
        <v>15750</v>
      </c>
      <c r="I230" s="24">
        <f t="shared" si="26"/>
        <v>0.77610000000000001</v>
      </c>
      <c r="J230" s="23">
        <v>1500</v>
      </c>
      <c r="K230" s="23">
        <v>1500</v>
      </c>
      <c r="L230" s="23">
        <v>1500</v>
      </c>
      <c r="M230" s="23">
        <v>1500</v>
      </c>
      <c r="N230" s="23">
        <v>1500</v>
      </c>
      <c r="O230" s="23">
        <v>1500</v>
      </c>
      <c r="P230" s="23"/>
      <c r="Q230" s="23">
        <v>750</v>
      </c>
      <c r="R230" s="23">
        <v>750</v>
      </c>
      <c r="S230" s="23">
        <v>750</v>
      </c>
      <c r="T230" s="23">
        <v>750</v>
      </c>
      <c r="U230" s="23">
        <v>750</v>
      </c>
      <c r="V230" s="7" t="s">
        <v>663</v>
      </c>
      <c r="W230" s="23">
        <f t="shared" si="27"/>
        <v>4544</v>
      </c>
      <c r="X230" s="7"/>
      <c r="Y230" s="7"/>
      <c r="Z230" s="7"/>
      <c r="AA230" s="23"/>
      <c r="AB230" s="175">
        <v>3000</v>
      </c>
      <c r="AC230" s="82"/>
      <c r="AD230" s="23"/>
      <c r="AE230" s="7" t="s">
        <v>430</v>
      </c>
    </row>
    <row r="231" spans="1:31" x14ac:dyDescent="0.2">
      <c r="A231" s="141" t="s">
        <v>184</v>
      </c>
      <c r="B231" s="9" t="s">
        <v>495</v>
      </c>
      <c r="C231" s="9" t="s">
        <v>495</v>
      </c>
      <c r="D231" s="9" t="s">
        <v>495</v>
      </c>
      <c r="E231" s="9"/>
      <c r="F231" s="9" t="s">
        <v>495</v>
      </c>
      <c r="G231" s="4">
        <v>6225</v>
      </c>
      <c r="H231" s="4">
        <f t="shared" si="25"/>
        <v>6225</v>
      </c>
      <c r="I231" s="24">
        <f t="shared" si="26"/>
        <v>1</v>
      </c>
      <c r="J231" s="23">
        <v>518.75</v>
      </c>
      <c r="K231" s="23">
        <v>518.75</v>
      </c>
      <c r="L231" s="23">
        <v>518.75</v>
      </c>
      <c r="M231" s="23">
        <v>518.75</v>
      </c>
      <c r="N231" s="23">
        <v>518.75</v>
      </c>
      <c r="O231" s="23">
        <v>518.75</v>
      </c>
      <c r="P231" s="23">
        <v>518.75</v>
      </c>
      <c r="Q231" s="23">
        <v>518.75</v>
      </c>
      <c r="R231" s="23">
        <v>518.75</v>
      </c>
      <c r="S231" s="23">
        <v>518.75</v>
      </c>
      <c r="T231" s="23">
        <v>518.75</v>
      </c>
      <c r="U231" s="23">
        <v>518.75</v>
      </c>
      <c r="V231" s="7" t="s">
        <v>664</v>
      </c>
      <c r="W231" s="23">
        <f t="shared" si="27"/>
        <v>0</v>
      </c>
      <c r="X231" s="7"/>
      <c r="Y231" s="7"/>
      <c r="Z231" s="7"/>
      <c r="AA231" s="23"/>
      <c r="AB231" s="23"/>
      <c r="AC231" s="82"/>
      <c r="AD231" s="23"/>
      <c r="AE231" s="7" t="s">
        <v>431</v>
      </c>
    </row>
    <row r="232" spans="1:31" x14ac:dyDescent="0.2">
      <c r="A232" s="141" t="s">
        <v>185</v>
      </c>
      <c r="B232" s="9" t="s">
        <v>495</v>
      </c>
      <c r="C232" s="9" t="s">
        <v>495</v>
      </c>
      <c r="D232" s="9">
        <v>0</v>
      </c>
      <c r="E232" s="9"/>
      <c r="F232" s="9" t="s">
        <v>495</v>
      </c>
      <c r="G232" s="4">
        <v>8705</v>
      </c>
      <c r="H232" s="4">
        <f t="shared" si="25"/>
        <v>8705</v>
      </c>
      <c r="I232" s="24">
        <f t="shared" si="26"/>
        <v>1</v>
      </c>
      <c r="J232" s="23">
        <v>725.49</v>
      </c>
      <c r="K232" s="23">
        <v>725.41</v>
      </c>
      <c r="L232" s="23">
        <v>725.41</v>
      </c>
      <c r="M232" s="23">
        <v>725.41</v>
      </c>
      <c r="N232" s="23">
        <v>725.41</v>
      </c>
      <c r="O232" s="23">
        <v>725.41</v>
      </c>
      <c r="P232" s="23">
        <v>725.41</v>
      </c>
      <c r="Q232" s="23">
        <v>725.41</v>
      </c>
      <c r="R232" s="23">
        <v>725.41</v>
      </c>
      <c r="S232" s="23">
        <v>725.41</v>
      </c>
      <c r="T232" s="23">
        <v>725.41</v>
      </c>
      <c r="U232" s="23">
        <v>725.41</v>
      </c>
      <c r="V232" s="7" t="s">
        <v>665</v>
      </c>
      <c r="W232" s="23">
        <f t="shared" si="27"/>
        <v>0</v>
      </c>
      <c r="X232" s="7"/>
      <c r="Y232" s="7"/>
      <c r="Z232" s="7"/>
      <c r="AA232" s="23"/>
      <c r="AB232" s="23"/>
      <c r="AC232" s="82"/>
      <c r="AD232" s="23"/>
      <c r="AE232" s="7" t="s">
        <v>431</v>
      </c>
    </row>
    <row r="233" spans="1:31" x14ac:dyDescent="0.2">
      <c r="A233" s="141" t="s">
        <v>186</v>
      </c>
      <c r="B233" s="9" t="s">
        <v>495</v>
      </c>
      <c r="C233" s="9" t="s">
        <v>495</v>
      </c>
      <c r="D233" s="9" t="s">
        <v>495</v>
      </c>
      <c r="E233" s="9"/>
      <c r="F233" s="9">
        <v>0</v>
      </c>
      <c r="G233" s="4">
        <v>23282</v>
      </c>
      <c r="H233" s="4">
        <f t="shared" si="25"/>
        <v>2500</v>
      </c>
      <c r="I233" s="24">
        <f t="shared" si="26"/>
        <v>0.1074</v>
      </c>
      <c r="J233" s="23">
        <v>0</v>
      </c>
      <c r="K233" s="23">
        <v>500</v>
      </c>
      <c r="L233" s="23"/>
      <c r="M233" s="23"/>
      <c r="N233" s="23">
        <v>1000</v>
      </c>
      <c r="O233" s="23"/>
      <c r="P233" s="23">
        <v>1000</v>
      </c>
      <c r="Q233" s="23"/>
      <c r="R233" s="23"/>
      <c r="S233" s="23"/>
      <c r="T233" s="23"/>
      <c r="U233" s="23"/>
      <c r="V233" s="7" t="s">
        <v>666</v>
      </c>
      <c r="W233" s="23">
        <f t="shared" si="27"/>
        <v>20782</v>
      </c>
      <c r="X233" s="7"/>
      <c r="Y233" s="7"/>
      <c r="Z233" s="7"/>
      <c r="AA233" s="23"/>
      <c r="AB233" s="23"/>
      <c r="AC233" s="82"/>
      <c r="AD233" s="23"/>
      <c r="AE233" s="7" t="s">
        <v>433</v>
      </c>
    </row>
    <row r="234" spans="1:31" x14ac:dyDescent="0.2">
      <c r="A234" s="141" t="s">
        <v>187</v>
      </c>
      <c r="B234" s="9" t="s">
        <v>495</v>
      </c>
      <c r="C234" s="9" t="s">
        <v>495</v>
      </c>
      <c r="D234" s="9" t="s">
        <v>495</v>
      </c>
      <c r="E234" s="9"/>
      <c r="F234" s="9">
        <v>0</v>
      </c>
      <c r="G234" s="4">
        <v>46435</v>
      </c>
      <c r="H234" s="4">
        <f t="shared" si="25"/>
        <v>30000</v>
      </c>
      <c r="I234" s="24">
        <f t="shared" si="26"/>
        <v>0.64610000000000001</v>
      </c>
      <c r="J234" s="23">
        <v>0</v>
      </c>
      <c r="K234" s="23">
        <v>4000</v>
      </c>
      <c r="L234" s="23"/>
      <c r="M234" s="23">
        <v>2000</v>
      </c>
      <c r="N234" s="23">
        <v>2000</v>
      </c>
      <c r="O234" s="23">
        <v>2000</v>
      </c>
      <c r="P234" s="23">
        <v>2000</v>
      </c>
      <c r="Q234" s="23">
        <v>2000</v>
      </c>
      <c r="R234" s="23">
        <v>2000</v>
      </c>
      <c r="S234" s="23"/>
      <c r="T234" s="23">
        <v>7000</v>
      </c>
      <c r="U234" s="23">
        <v>7000</v>
      </c>
      <c r="V234" s="7" t="s">
        <v>667</v>
      </c>
      <c r="W234" s="23">
        <f t="shared" si="27"/>
        <v>16435</v>
      </c>
      <c r="X234" s="7"/>
      <c r="Y234" s="7"/>
      <c r="Z234" s="7"/>
      <c r="AA234" s="23"/>
      <c r="AB234" s="23"/>
      <c r="AC234" s="82"/>
      <c r="AD234" s="23"/>
      <c r="AE234" s="7" t="s">
        <v>433</v>
      </c>
    </row>
    <row r="235" spans="1:31" x14ac:dyDescent="0.2">
      <c r="A235" s="141" t="s">
        <v>188</v>
      </c>
      <c r="B235" s="9" t="s">
        <v>495</v>
      </c>
      <c r="C235" s="9" t="s">
        <v>495</v>
      </c>
      <c r="D235" s="9" t="s">
        <v>495</v>
      </c>
      <c r="E235" s="9"/>
      <c r="F235" s="9" t="s">
        <v>495</v>
      </c>
      <c r="G235" s="4">
        <v>13246</v>
      </c>
      <c r="H235" s="4">
        <f t="shared" si="25"/>
        <v>7000</v>
      </c>
      <c r="I235" s="24">
        <f t="shared" si="26"/>
        <v>0.52849999999999997</v>
      </c>
      <c r="J235" s="23">
        <v>700</v>
      </c>
      <c r="K235" s="23">
        <v>700</v>
      </c>
      <c r="L235" s="23">
        <v>700</v>
      </c>
      <c r="M235" s="23">
        <v>700</v>
      </c>
      <c r="N235" s="23">
        <v>700</v>
      </c>
      <c r="O235" s="23">
        <v>500</v>
      </c>
      <c r="P235" s="23">
        <v>500</v>
      </c>
      <c r="Q235" s="23">
        <v>500</v>
      </c>
      <c r="R235" s="23">
        <v>500</v>
      </c>
      <c r="S235" s="23">
        <v>500</v>
      </c>
      <c r="T235" s="23">
        <v>500</v>
      </c>
      <c r="U235" s="23">
        <v>500</v>
      </c>
      <c r="V235" s="7" t="s">
        <v>668</v>
      </c>
      <c r="W235" s="23">
        <f t="shared" si="27"/>
        <v>6246</v>
      </c>
      <c r="X235" s="7"/>
      <c r="Y235" s="7"/>
      <c r="Z235" s="7"/>
      <c r="AA235" s="23"/>
      <c r="AB235" s="23"/>
      <c r="AC235" s="82"/>
      <c r="AD235" s="23"/>
      <c r="AE235" s="7" t="s">
        <v>434</v>
      </c>
    </row>
    <row r="236" spans="1:31" x14ac:dyDescent="0.2">
      <c r="A236" s="141" t="s">
        <v>189</v>
      </c>
      <c r="B236" s="9" t="s">
        <v>495</v>
      </c>
      <c r="C236" s="9" t="s">
        <v>495</v>
      </c>
      <c r="D236" s="9" t="s">
        <v>495</v>
      </c>
      <c r="E236" s="9"/>
      <c r="F236" s="9">
        <v>0</v>
      </c>
      <c r="G236" s="4">
        <v>30908</v>
      </c>
      <c r="H236" s="4">
        <f t="shared" si="25"/>
        <v>16398</v>
      </c>
      <c r="I236" s="24">
        <f t="shared" si="26"/>
        <v>0.53049999999999997</v>
      </c>
      <c r="J236" s="23">
        <v>2000</v>
      </c>
      <c r="K236" s="23">
        <v>1000</v>
      </c>
      <c r="L236" s="23">
        <v>2000</v>
      </c>
      <c r="M236" s="23">
        <v>0</v>
      </c>
      <c r="N236" s="23">
        <v>2000</v>
      </c>
      <c r="O236" s="23">
        <v>1000</v>
      </c>
      <c r="P236" s="23">
        <v>2000</v>
      </c>
      <c r="Q236" s="23">
        <v>1000</v>
      </c>
      <c r="R236" s="23">
        <v>2000</v>
      </c>
      <c r="S236" s="23">
        <v>398</v>
      </c>
      <c r="T236" s="23">
        <v>2000</v>
      </c>
      <c r="U236" s="23"/>
      <c r="V236" s="7" t="s">
        <v>669</v>
      </c>
      <c r="W236" s="23">
        <f t="shared" si="27"/>
        <v>14510</v>
      </c>
      <c r="X236" s="7"/>
      <c r="Y236" s="7"/>
      <c r="Z236" s="7"/>
      <c r="AA236" s="23"/>
      <c r="AB236" s="23"/>
      <c r="AC236" s="82">
        <v>1000</v>
      </c>
      <c r="AD236" s="23"/>
      <c r="AE236" s="7" t="s">
        <v>434</v>
      </c>
    </row>
    <row r="237" spans="1:31" x14ac:dyDescent="0.2">
      <c r="A237" s="141" t="s">
        <v>190</v>
      </c>
      <c r="B237" s="9" t="s">
        <v>495</v>
      </c>
      <c r="C237" s="9" t="s">
        <v>495</v>
      </c>
      <c r="D237" s="9">
        <v>0</v>
      </c>
      <c r="E237" s="9"/>
      <c r="F237" s="9" t="s">
        <v>495</v>
      </c>
      <c r="G237" s="4">
        <v>43756</v>
      </c>
      <c r="H237" s="4">
        <f t="shared" si="25"/>
        <v>20920</v>
      </c>
      <c r="I237" s="24">
        <f t="shared" si="26"/>
        <v>0.47810000000000002</v>
      </c>
      <c r="J237" s="23">
        <v>3000</v>
      </c>
      <c r="K237" s="23">
        <v>3000</v>
      </c>
      <c r="L237" s="23">
        <v>3000</v>
      </c>
      <c r="M237" s="23">
        <v>0</v>
      </c>
      <c r="N237" s="23"/>
      <c r="O237" s="23">
        <v>2000</v>
      </c>
      <c r="P237" s="23"/>
      <c r="Q237" s="23"/>
      <c r="R237" s="23">
        <v>3000</v>
      </c>
      <c r="S237" s="23"/>
      <c r="T237" s="23"/>
      <c r="U237" s="23">
        <v>6920</v>
      </c>
      <c r="V237" s="7" t="s">
        <v>670</v>
      </c>
      <c r="W237" s="23">
        <f t="shared" si="27"/>
        <v>22836</v>
      </c>
      <c r="X237" s="7"/>
      <c r="Y237" s="7"/>
      <c r="Z237" s="7"/>
      <c r="AA237" s="23"/>
      <c r="AB237" s="23"/>
      <c r="AC237" s="82"/>
      <c r="AD237" s="23"/>
      <c r="AE237" s="7" t="s">
        <v>435</v>
      </c>
    </row>
    <row r="238" spans="1:31" x14ac:dyDescent="0.2">
      <c r="A238" s="141" t="s">
        <v>191</v>
      </c>
      <c r="B238" s="9" t="s">
        <v>495</v>
      </c>
      <c r="C238" s="9" t="s">
        <v>495</v>
      </c>
      <c r="D238" s="9">
        <v>0</v>
      </c>
      <c r="E238" s="9"/>
      <c r="F238" s="9">
        <v>0</v>
      </c>
      <c r="G238" s="4">
        <v>62275</v>
      </c>
      <c r="H238" s="4">
        <f t="shared" si="25"/>
        <v>46000</v>
      </c>
      <c r="I238" s="24">
        <f t="shared" si="26"/>
        <v>0.73870000000000002</v>
      </c>
      <c r="J238" s="23">
        <v>0</v>
      </c>
      <c r="K238" s="23"/>
      <c r="L238" s="23"/>
      <c r="M238" s="23">
        <v>8000</v>
      </c>
      <c r="N238" s="23"/>
      <c r="O238" s="23">
        <v>4000</v>
      </c>
      <c r="P238" s="23">
        <v>6000</v>
      </c>
      <c r="Q238" s="23"/>
      <c r="R238" s="23"/>
      <c r="S238" s="23">
        <v>10000</v>
      </c>
      <c r="T238" s="23">
        <v>15000</v>
      </c>
      <c r="U238" s="23">
        <v>3000</v>
      </c>
      <c r="V238" s="7" t="s">
        <v>671</v>
      </c>
      <c r="W238" s="23">
        <f t="shared" si="27"/>
        <v>16275</v>
      </c>
      <c r="X238" s="7"/>
      <c r="Y238" s="7"/>
      <c r="Z238" s="7"/>
      <c r="AA238" s="23"/>
      <c r="AB238" s="23"/>
      <c r="AC238" s="82"/>
      <c r="AD238" s="23"/>
      <c r="AE238" s="7" t="s">
        <v>436</v>
      </c>
    </row>
    <row r="239" spans="1:31" x14ac:dyDescent="0.2">
      <c r="A239" s="141" t="s">
        <v>192</v>
      </c>
      <c r="B239" s="9" t="s">
        <v>495</v>
      </c>
      <c r="C239" s="9" t="s">
        <v>495</v>
      </c>
      <c r="D239" s="9" t="s">
        <v>495</v>
      </c>
      <c r="E239" s="9"/>
      <c r="F239" s="9">
        <v>0</v>
      </c>
      <c r="G239" s="4">
        <v>52917</v>
      </c>
      <c r="H239" s="4">
        <f t="shared" si="25"/>
        <v>52917</v>
      </c>
      <c r="I239" s="24">
        <f t="shared" si="26"/>
        <v>1</v>
      </c>
      <c r="J239" s="23">
        <v>0</v>
      </c>
      <c r="K239" s="23"/>
      <c r="L239" s="23"/>
      <c r="M239" s="23">
        <v>4000</v>
      </c>
      <c r="N239" s="23">
        <v>1000</v>
      </c>
      <c r="O239" s="23">
        <v>1000</v>
      </c>
      <c r="P239" s="23">
        <v>8000</v>
      </c>
      <c r="Q239" s="23">
        <v>1000</v>
      </c>
      <c r="R239" s="23">
        <v>1000</v>
      </c>
      <c r="S239" s="23">
        <v>12000</v>
      </c>
      <c r="T239" s="23">
        <v>14621</v>
      </c>
      <c r="U239" s="23">
        <v>1000</v>
      </c>
      <c r="V239" s="7" t="s">
        <v>672</v>
      </c>
      <c r="W239" s="23">
        <f t="shared" si="27"/>
        <v>0</v>
      </c>
      <c r="X239" s="7"/>
      <c r="Y239" s="7"/>
      <c r="Z239" s="7"/>
      <c r="AA239" s="175">
        <v>9296</v>
      </c>
      <c r="AB239" s="23"/>
      <c r="AC239" s="82"/>
      <c r="AD239" s="23"/>
      <c r="AE239" s="7" t="s">
        <v>437</v>
      </c>
    </row>
    <row r="240" spans="1:31" x14ac:dyDescent="0.2">
      <c r="A240" s="141" t="s">
        <v>193</v>
      </c>
      <c r="B240" s="9" t="s">
        <v>495</v>
      </c>
      <c r="C240" s="9" t="s">
        <v>495</v>
      </c>
      <c r="D240" s="9">
        <v>0</v>
      </c>
      <c r="E240" s="9"/>
      <c r="F240" s="9">
        <v>0</v>
      </c>
      <c r="G240" s="4">
        <v>10374</v>
      </c>
      <c r="H240" s="4">
        <f t="shared" si="25"/>
        <v>10374</v>
      </c>
      <c r="I240" s="24">
        <f t="shared" si="26"/>
        <v>1</v>
      </c>
      <c r="J240" s="23">
        <v>1000</v>
      </c>
      <c r="K240" s="23"/>
      <c r="L240" s="23">
        <v>1000</v>
      </c>
      <c r="M240" s="23"/>
      <c r="N240" s="23">
        <v>3000</v>
      </c>
      <c r="O240" s="23"/>
      <c r="P240" s="23"/>
      <c r="Q240" s="23">
        <v>3000</v>
      </c>
      <c r="R240" s="23"/>
      <c r="S240" s="23"/>
      <c r="T240" s="23">
        <v>2374</v>
      </c>
      <c r="U240" s="23"/>
      <c r="V240" s="7" t="s">
        <v>673</v>
      </c>
      <c r="W240" s="23">
        <f t="shared" si="27"/>
        <v>0</v>
      </c>
      <c r="X240" s="7"/>
      <c r="Y240" s="7"/>
      <c r="Z240" s="7"/>
      <c r="AA240" s="23"/>
      <c r="AB240" s="23"/>
      <c r="AC240" s="82"/>
      <c r="AD240" s="23"/>
      <c r="AE240" s="7" t="s">
        <v>431</v>
      </c>
    </row>
    <row r="241" spans="1:34" x14ac:dyDescent="0.2">
      <c r="A241" s="141" t="s">
        <v>194</v>
      </c>
      <c r="B241" s="9" t="s">
        <v>495</v>
      </c>
      <c r="C241" s="9" t="s">
        <v>495</v>
      </c>
      <c r="D241" s="9" t="s">
        <v>495</v>
      </c>
      <c r="E241" s="9"/>
      <c r="F241" s="9">
        <v>0</v>
      </c>
      <c r="G241" s="4">
        <v>69780</v>
      </c>
      <c r="H241" s="4">
        <f t="shared" si="25"/>
        <v>69780</v>
      </c>
      <c r="I241" s="24">
        <f t="shared" si="26"/>
        <v>1</v>
      </c>
      <c r="J241" s="23">
        <v>0</v>
      </c>
      <c r="K241" s="23">
        <v>11000</v>
      </c>
      <c r="L241" s="23">
        <v>5500</v>
      </c>
      <c r="M241" s="23">
        <v>4500</v>
      </c>
      <c r="N241" s="23">
        <v>4000</v>
      </c>
      <c r="O241" s="23">
        <v>4500</v>
      </c>
      <c r="P241" s="23">
        <v>6500</v>
      </c>
      <c r="Q241" s="23">
        <v>4000</v>
      </c>
      <c r="R241" s="23">
        <v>11000</v>
      </c>
      <c r="S241" s="23">
        <v>4000</v>
      </c>
      <c r="T241" s="23">
        <v>4000</v>
      </c>
      <c r="U241" s="23">
        <v>10780</v>
      </c>
      <c r="V241" s="7" t="s">
        <v>674</v>
      </c>
      <c r="W241" s="23">
        <f t="shared" si="27"/>
        <v>0</v>
      </c>
      <c r="X241" s="7"/>
      <c r="Y241" s="7"/>
      <c r="Z241" s="7"/>
      <c r="AA241" s="23"/>
      <c r="AB241" s="23"/>
      <c r="AC241" s="82"/>
      <c r="AD241" s="23"/>
      <c r="AE241" s="7" t="s">
        <v>432</v>
      </c>
    </row>
    <row r="242" spans="1:34" x14ac:dyDescent="0.2">
      <c r="A242" s="141" t="s">
        <v>195</v>
      </c>
      <c r="B242" s="9">
        <v>0</v>
      </c>
      <c r="C242" s="9" t="s">
        <v>495</v>
      </c>
      <c r="D242" s="9" t="s">
        <v>495</v>
      </c>
      <c r="E242" s="9"/>
      <c r="F242" s="9">
        <v>0</v>
      </c>
      <c r="G242" s="4">
        <v>20294</v>
      </c>
      <c r="H242" s="4">
        <f t="shared" si="25"/>
        <v>12000</v>
      </c>
      <c r="I242" s="24">
        <f t="shared" si="26"/>
        <v>0.59130000000000005</v>
      </c>
      <c r="J242" s="23">
        <v>1500</v>
      </c>
      <c r="K242" s="23"/>
      <c r="L242" s="23"/>
      <c r="M242" s="23">
        <v>1500</v>
      </c>
      <c r="N242" s="23">
        <v>1500</v>
      </c>
      <c r="O242" s="23"/>
      <c r="P242" s="23">
        <v>1500</v>
      </c>
      <c r="Q242" s="23">
        <v>1500</v>
      </c>
      <c r="R242" s="23"/>
      <c r="S242" s="23">
        <v>3000</v>
      </c>
      <c r="T242" s="23"/>
      <c r="U242" s="23">
        <v>1500</v>
      </c>
      <c r="V242" s="7" t="s">
        <v>675</v>
      </c>
      <c r="W242" s="23">
        <f t="shared" si="27"/>
        <v>8294</v>
      </c>
      <c r="X242" s="7"/>
      <c r="Y242" s="7"/>
      <c r="Z242" s="7"/>
      <c r="AA242" s="23"/>
      <c r="AB242" s="23"/>
      <c r="AC242" s="82"/>
      <c r="AD242" s="23"/>
      <c r="AE242" s="7" t="s">
        <v>430</v>
      </c>
    </row>
    <row r="243" spans="1:34" x14ac:dyDescent="0.2">
      <c r="A243" s="141" t="s">
        <v>196</v>
      </c>
      <c r="B243" s="9">
        <v>0</v>
      </c>
      <c r="C243" s="9">
        <v>0</v>
      </c>
      <c r="D243" s="9">
        <v>0</v>
      </c>
      <c r="E243" s="9"/>
      <c r="F243" s="9">
        <v>0</v>
      </c>
      <c r="G243" s="4">
        <v>12778</v>
      </c>
      <c r="H243" s="4">
        <f t="shared" si="25"/>
        <v>12777.999999999998</v>
      </c>
      <c r="I243" s="24">
        <f t="shared" si="26"/>
        <v>1</v>
      </c>
      <c r="J243" s="23">
        <v>1271.02</v>
      </c>
      <c r="K243" s="23">
        <v>1278.58</v>
      </c>
      <c r="L243" s="23">
        <v>1278.55</v>
      </c>
      <c r="M243" s="23">
        <v>1278.55</v>
      </c>
      <c r="N243" s="23">
        <v>1278.55</v>
      </c>
      <c r="O243" s="23">
        <v>1278.55</v>
      </c>
      <c r="P243" s="23">
        <v>1278.55</v>
      </c>
      <c r="Q243" s="23">
        <v>1278.55</v>
      </c>
      <c r="R243" s="23">
        <v>1278.55</v>
      </c>
      <c r="S243" s="23">
        <v>1278.55</v>
      </c>
      <c r="T243" s="23"/>
      <c r="U243" s="23"/>
      <c r="V243" s="7" t="s">
        <v>676</v>
      </c>
      <c r="W243" s="23">
        <f t="shared" si="27"/>
        <v>0</v>
      </c>
      <c r="X243" s="7"/>
      <c r="Y243" s="7"/>
      <c r="Z243" s="7"/>
      <c r="AA243" s="23"/>
      <c r="AB243" s="23"/>
      <c r="AC243" s="82"/>
      <c r="AD243" s="23"/>
      <c r="AE243" s="7" t="s">
        <v>430</v>
      </c>
    </row>
    <row r="244" spans="1:34" x14ac:dyDescent="0.2">
      <c r="A244" s="141" t="s">
        <v>197</v>
      </c>
      <c r="B244" s="9" t="s">
        <v>495</v>
      </c>
      <c r="C244" s="9" t="s">
        <v>495</v>
      </c>
      <c r="D244" s="9" t="s">
        <v>495</v>
      </c>
      <c r="E244" s="9"/>
      <c r="F244" s="9">
        <v>0</v>
      </c>
      <c r="G244" s="4">
        <v>18205</v>
      </c>
      <c r="H244" s="4">
        <f t="shared" si="25"/>
        <v>13648.44</v>
      </c>
      <c r="I244" s="24">
        <f t="shared" si="26"/>
        <v>0.74970000000000003</v>
      </c>
      <c r="J244" s="23">
        <v>1509.58</v>
      </c>
      <c r="K244" s="23">
        <v>1517.82</v>
      </c>
      <c r="L244" s="23">
        <v>1517.76</v>
      </c>
      <c r="M244" s="23">
        <v>1517.76</v>
      </c>
      <c r="N244" s="23">
        <v>1517.76</v>
      </c>
      <c r="O244" s="23">
        <v>1517.76</v>
      </c>
      <c r="P244" s="23">
        <v>0</v>
      </c>
      <c r="Q244" s="23"/>
      <c r="R244" s="23">
        <v>1500</v>
      </c>
      <c r="S244" s="23"/>
      <c r="T244" s="23">
        <v>500</v>
      </c>
      <c r="U244" s="23">
        <v>2550</v>
      </c>
      <c r="V244" s="7" t="s">
        <v>677</v>
      </c>
      <c r="W244" s="23">
        <f t="shared" si="27"/>
        <v>4556.5599999999995</v>
      </c>
      <c r="X244" s="7"/>
      <c r="Y244" s="7"/>
      <c r="Z244" s="7"/>
      <c r="AA244" s="23"/>
      <c r="AB244" s="23"/>
      <c r="AC244" s="82"/>
      <c r="AD244" s="23"/>
      <c r="AE244" s="7" t="s">
        <v>438</v>
      </c>
    </row>
    <row r="245" spans="1:34" x14ac:dyDescent="0.2">
      <c r="A245" s="141" t="s">
        <v>198</v>
      </c>
      <c r="B245" s="9" t="s">
        <v>495</v>
      </c>
      <c r="C245" s="9" t="s">
        <v>495</v>
      </c>
      <c r="D245" s="9">
        <v>0</v>
      </c>
      <c r="E245" s="9"/>
      <c r="F245" s="9">
        <v>0</v>
      </c>
      <c r="G245" s="4">
        <v>16449</v>
      </c>
      <c r="H245" s="4">
        <f t="shared" si="25"/>
        <v>9870</v>
      </c>
      <c r="I245" s="24">
        <f t="shared" si="26"/>
        <v>0.6</v>
      </c>
      <c r="J245" s="23">
        <v>0</v>
      </c>
      <c r="K245" s="23"/>
      <c r="L245" s="23"/>
      <c r="M245" s="23"/>
      <c r="N245" s="23"/>
      <c r="O245" s="23"/>
      <c r="P245" s="23"/>
      <c r="Q245" s="23"/>
      <c r="R245" s="23">
        <v>4935</v>
      </c>
      <c r="S245" s="23"/>
      <c r="T245" s="23"/>
      <c r="U245" s="23">
        <v>4935</v>
      </c>
      <c r="V245" s="7" t="s">
        <v>678</v>
      </c>
      <c r="W245" s="23">
        <f t="shared" si="27"/>
        <v>6579</v>
      </c>
      <c r="X245" s="7"/>
      <c r="Y245" s="7"/>
      <c r="Z245" s="7"/>
      <c r="AA245" s="23"/>
      <c r="AB245" s="23"/>
      <c r="AC245" s="82"/>
      <c r="AD245" s="23"/>
      <c r="AE245" s="7" t="s">
        <v>438</v>
      </c>
    </row>
    <row r="246" spans="1:34" x14ac:dyDescent="0.2">
      <c r="A246" s="141" t="s">
        <v>199</v>
      </c>
      <c r="B246" s="9" t="s">
        <v>495</v>
      </c>
      <c r="C246" s="9" t="s">
        <v>495</v>
      </c>
      <c r="D246" s="9" t="s">
        <v>495</v>
      </c>
      <c r="E246" s="9"/>
      <c r="F246" s="9">
        <v>0</v>
      </c>
      <c r="G246" s="4">
        <v>17857</v>
      </c>
      <c r="H246" s="4">
        <f t="shared" si="25"/>
        <v>10584.220000000001</v>
      </c>
      <c r="I246" s="24">
        <f t="shared" si="26"/>
        <v>0.5927</v>
      </c>
      <c r="J246" s="23">
        <v>1451.33</v>
      </c>
      <c r="K246" s="23">
        <v>1491.47</v>
      </c>
      <c r="L246" s="23">
        <v>1491.42</v>
      </c>
      <c r="M246" s="23">
        <v>0</v>
      </c>
      <c r="N246" s="23"/>
      <c r="O246" s="23">
        <v>450</v>
      </c>
      <c r="P246" s="23">
        <v>450</v>
      </c>
      <c r="Q246" s="23">
        <v>450</v>
      </c>
      <c r="R246" s="23">
        <v>450</v>
      </c>
      <c r="S246" s="23">
        <v>450</v>
      </c>
      <c r="T246" s="23">
        <v>3450</v>
      </c>
      <c r="U246" s="23">
        <v>450</v>
      </c>
      <c r="V246" s="7" t="s">
        <v>679</v>
      </c>
      <c r="W246" s="23">
        <f t="shared" si="27"/>
        <v>7272.7799999999988</v>
      </c>
      <c r="X246" s="7"/>
      <c r="Y246" s="7"/>
      <c r="Z246" s="7"/>
      <c r="AA246" s="23"/>
      <c r="AB246" s="23"/>
      <c r="AC246" s="82"/>
      <c r="AD246" s="23"/>
      <c r="AE246" s="7" t="s">
        <v>438</v>
      </c>
    </row>
    <row r="247" spans="1:34" x14ac:dyDescent="0.2">
      <c r="A247" s="141" t="s">
        <v>200</v>
      </c>
      <c r="B247" s="9" t="s">
        <v>495</v>
      </c>
      <c r="C247" s="9" t="s">
        <v>495</v>
      </c>
      <c r="D247" s="9">
        <v>0</v>
      </c>
      <c r="E247" s="9"/>
      <c r="F247" s="9">
        <v>0</v>
      </c>
      <c r="G247" s="4">
        <v>17704</v>
      </c>
      <c r="H247" s="4">
        <f t="shared" si="25"/>
        <v>12000</v>
      </c>
      <c r="I247" s="24">
        <f t="shared" si="26"/>
        <v>0.67779999999999996</v>
      </c>
      <c r="J247" s="23">
        <v>0</v>
      </c>
      <c r="K247" s="23"/>
      <c r="L247" s="23"/>
      <c r="M247" s="23"/>
      <c r="N247" s="23">
        <v>2000</v>
      </c>
      <c r="O247" s="23"/>
      <c r="P247" s="23"/>
      <c r="Q247" s="23">
        <v>5000</v>
      </c>
      <c r="R247" s="23"/>
      <c r="S247" s="23"/>
      <c r="T247" s="23">
        <v>5000</v>
      </c>
      <c r="U247" s="23"/>
      <c r="V247" s="7" t="s">
        <v>680</v>
      </c>
      <c r="W247" s="23">
        <f t="shared" si="27"/>
        <v>5704</v>
      </c>
      <c r="X247" s="7"/>
      <c r="Y247" s="7"/>
      <c r="Z247" s="7"/>
      <c r="AA247" s="23"/>
      <c r="AB247" s="23"/>
      <c r="AC247" s="82"/>
      <c r="AD247" s="23"/>
      <c r="AE247" s="7" t="s">
        <v>438</v>
      </c>
    </row>
    <row r="248" spans="1:34" x14ac:dyDescent="0.2">
      <c r="A248" s="141" t="s">
        <v>201</v>
      </c>
      <c r="B248" s="9">
        <v>0</v>
      </c>
      <c r="C248" s="9" t="s">
        <v>495</v>
      </c>
      <c r="D248" s="9" t="s">
        <v>495</v>
      </c>
      <c r="E248" s="9"/>
      <c r="F248" s="9" t="s">
        <v>495</v>
      </c>
      <c r="G248" s="4">
        <v>21006</v>
      </c>
      <c r="H248" s="4">
        <f t="shared" si="25"/>
        <v>15963.880000000001</v>
      </c>
      <c r="I248" s="24">
        <f t="shared" si="26"/>
        <v>0.76</v>
      </c>
      <c r="J248" s="23">
        <v>1696.05</v>
      </c>
      <c r="K248" s="23">
        <v>1696.05</v>
      </c>
      <c r="L248" s="23">
        <v>1761.39</v>
      </c>
      <c r="M248" s="23">
        <v>1761.39</v>
      </c>
      <c r="N248" s="23">
        <v>600</v>
      </c>
      <c r="O248" s="23">
        <v>600</v>
      </c>
      <c r="P248" s="23">
        <v>600</v>
      </c>
      <c r="Q248" s="23">
        <v>600</v>
      </c>
      <c r="R248" s="23">
        <v>600</v>
      </c>
      <c r="S248" s="23">
        <v>600</v>
      </c>
      <c r="T248" s="23">
        <v>600</v>
      </c>
      <c r="U248" s="23">
        <v>4849</v>
      </c>
      <c r="V248" s="7" t="s">
        <v>681</v>
      </c>
      <c r="W248" s="23">
        <f t="shared" si="27"/>
        <v>5042.119999999999</v>
      </c>
      <c r="X248" s="7"/>
      <c r="Y248" s="7"/>
      <c r="Z248" s="7"/>
      <c r="AA248" s="23"/>
      <c r="AB248" s="23"/>
      <c r="AC248" s="82"/>
      <c r="AD248" s="23"/>
      <c r="AE248" s="7" t="s">
        <v>439</v>
      </c>
    </row>
    <row r="249" spans="1:34" x14ac:dyDescent="0.2">
      <c r="A249" s="141" t="s">
        <v>202</v>
      </c>
      <c r="B249" s="9" t="s">
        <v>495</v>
      </c>
      <c r="C249" s="9" t="s">
        <v>495</v>
      </c>
      <c r="D249" s="9">
        <v>0</v>
      </c>
      <c r="E249" s="9"/>
      <c r="F249" s="9">
        <v>0</v>
      </c>
      <c r="G249" s="4">
        <v>15485</v>
      </c>
      <c r="H249" s="4">
        <f t="shared" si="25"/>
        <v>6000</v>
      </c>
      <c r="I249" s="24">
        <f t="shared" si="26"/>
        <v>0.38750000000000001</v>
      </c>
      <c r="J249" s="23">
        <v>0</v>
      </c>
      <c r="K249" s="23"/>
      <c r="L249" s="23"/>
      <c r="M249" s="23"/>
      <c r="N249" s="23"/>
      <c r="O249" s="23"/>
      <c r="P249" s="23"/>
      <c r="Q249" s="23"/>
      <c r="R249" s="23">
        <v>4000</v>
      </c>
      <c r="S249" s="23"/>
      <c r="T249" s="23">
        <v>2000</v>
      </c>
      <c r="U249" s="23"/>
      <c r="V249" s="7" t="s">
        <v>682</v>
      </c>
      <c r="W249" s="23">
        <f t="shared" si="27"/>
        <v>9485</v>
      </c>
      <c r="X249" s="7"/>
      <c r="Y249" s="7"/>
      <c r="Z249" s="7"/>
      <c r="AA249" s="23"/>
      <c r="AB249" s="23"/>
      <c r="AC249" s="82"/>
      <c r="AD249" s="23"/>
      <c r="AE249" s="7" t="s">
        <v>439</v>
      </c>
    </row>
    <row r="250" spans="1:34" x14ac:dyDescent="0.2">
      <c r="A250" s="141" t="s">
        <v>203</v>
      </c>
      <c r="B250" s="9" t="s">
        <v>495</v>
      </c>
      <c r="C250" s="9" t="s">
        <v>495</v>
      </c>
      <c r="D250" s="9" t="s">
        <v>495</v>
      </c>
      <c r="E250" s="9"/>
      <c r="F250" s="9">
        <v>0</v>
      </c>
      <c r="G250" s="4">
        <v>18514</v>
      </c>
      <c r="H250" s="4">
        <f t="shared" si="25"/>
        <v>9250</v>
      </c>
      <c r="I250" s="24">
        <f t="shared" si="26"/>
        <v>0.49959999999999999</v>
      </c>
      <c r="J250" s="23">
        <v>0</v>
      </c>
      <c r="K250" s="23">
        <v>1500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>
        <v>7750</v>
      </c>
      <c r="V250" s="7" t="s">
        <v>683</v>
      </c>
      <c r="W250" s="23">
        <f t="shared" si="27"/>
        <v>9264</v>
      </c>
      <c r="X250" s="7"/>
      <c r="Y250" s="7"/>
      <c r="Z250" s="7"/>
      <c r="AA250" s="23"/>
      <c r="AB250" s="23"/>
      <c r="AC250" s="82"/>
      <c r="AD250" s="23"/>
      <c r="AE250" s="7" t="s">
        <v>439</v>
      </c>
    </row>
    <row r="251" spans="1:34" x14ac:dyDescent="0.2">
      <c r="A251" s="141" t="s">
        <v>204</v>
      </c>
      <c r="B251" s="9" t="s">
        <v>495</v>
      </c>
      <c r="C251" s="9">
        <v>0</v>
      </c>
      <c r="D251" s="9" t="s">
        <v>495</v>
      </c>
      <c r="E251" s="9"/>
      <c r="F251" s="9" t="s">
        <v>495</v>
      </c>
      <c r="G251" s="4">
        <v>7272</v>
      </c>
      <c r="H251" s="4">
        <f t="shared" si="25"/>
        <v>6000</v>
      </c>
      <c r="I251" s="24">
        <f t="shared" si="26"/>
        <v>0.82509999999999994</v>
      </c>
      <c r="J251" s="23">
        <v>500</v>
      </c>
      <c r="K251" s="23">
        <v>500</v>
      </c>
      <c r="L251" s="23">
        <v>500</v>
      </c>
      <c r="M251" s="23">
        <v>500</v>
      </c>
      <c r="N251" s="23">
        <v>500</v>
      </c>
      <c r="O251" s="23">
        <v>500</v>
      </c>
      <c r="P251" s="23">
        <v>500</v>
      </c>
      <c r="Q251" s="23">
        <v>500</v>
      </c>
      <c r="R251" s="23">
        <v>500</v>
      </c>
      <c r="S251" s="23">
        <v>500</v>
      </c>
      <c r="T251" s="23">
        <v>500</v>
      </c>
      <c r="U251" s="23">
        <v>500</v>
      </c>
      <c r="V251" s="7" t="s">
        <v>684</v>
      </c>
      <c r="W251" s="23">
        <f t="shared" si="27"/>
        <v>1272</v>
      </c>
      <c r="X251" s="7"/>
      <c r="Y251" s="7"/>
      <c r="Z251" s="7"/>
      <c r="AA251" s="23"/>
      <c r="AB251" s="23"/>
      <c r="AC251" s="82"/>
      <c r="AD251" s="23"/>
      <c r="AE251" s="7" t="s">
        <v>439</v>
      </c>
    </row>
    <row r="252" spans="1:34" x14ac:dyDescent="0.2">
      <c r="A252" s="141" t="s">
        <v>205</v>
      </c>
      <c r="B252" s="9" t="s">
        <v>495</v>
      </c>
      <c r="C252" s="9">
        <v>0</v>
      </c>
      <c r="D252" s="9">
        <v>0</v>
      </c>
      <c r="E252" s="9"/>
      <c r="F252" s="9" t="s">
        <v>495</v>
      </c>
      <c r="G252" s="4">
        <v>5049</v>
      </c>
      <c r="H252" s="4">
        <f t="shared" si="25"/>
        <v>5049</v>
      </c>
      <c r="I252" s="24">
        <f t="shared" si="26"/>
        <v>1</v>
      </c>
      <c r="J252" s="23">
        <v>200</v>
      </c>
      <c r="K252" s="23">
        <v>200</v>
      </c>
      <c r="L252" s="23">
        <v>200</v>
      </c>
      <c r="M252" s="23">
        <v>200</v>
      </c>
      <c r="N252" s="23">
        <v>200</v>
      </c>
      <c r="O252" s="23">
        <v>200</v>
      </c>
      <c r="P252" s="23">
        <v>200</v>
      </c>
      <c r="Q252" s="23">
        <v>200</v>
      </c>
      <c r="R252" s="23">
        <v>200</v>
      </c>
      <c r="S252" s="23">
        <v>200</v>
      </c>
      <c r="T252" s="23">
        <v>200</v>
      </c>
      <c r="U252" s="23">
        <v>200</v>
      </c>
      <c r="V252" s="7" t="s">
        <v>685</v>
      </c>
      <c r="W252" s="23">
        <f t="shared" si="27"/>
        <v>0</v>
      </c>
      <c r="X252" s="7"/>
      <c r="Y252" s="7"/>
      <c r="Z252" s="7"/>
      <c r="AA252" s="23"/>
      <c r="AB252" s="175">
        <v>2649</v>
      </c>
      <c r="AC252" s="82"/>
      <c r="AD252" s="23"/>
      <c r="AE252" s="7" t="s">
        <v>439</v>
      </c>
    </row>
    <row r="253" spans="1:34" x14ac:dyDescent="0.2">
      <c r="A253" s="141" t="s">
        <v>206</v>
      </c>
      <c r="B253" s="9" t="s">
        <v>495</v>
      </c>
      <c r="C253" s="9" t="s">
        <v>495</v>
      </c>
      <c r="D253" s="9">
        <v>0</v>
      </c>
      <c r="E253" s="9"/>
      <c r="F253" s="9">
        <v>0</v>
      </c>
      <c r="G253" s="4">
        <v>27038</v>
      </c>
      <c r="H253" s="4">
        <f t="shared" si="25"/>
        <v>27237</v>
      </c>
      <c r="I253" s="24">
        <f t="shared" si="26"/>
        <v>1.0074000000000001</v>
      </c>
      <c r="J253" s="23">
        <v>2255</v>
      </c>
      <c r="K253" s="23"/>
      <c r="L253" s="23">
        <v>2255</v>
      </c>
      <c r="M253" s="23">
        <v>1327</v>
      </c>
      <c r="N253" s="23">
        <v>1128</v>
      </c>
      <c r="O253" s="23">
        <v>1128</v>
      </c>
      <c r="P253" s="23">
        <v>1128</v>
      </c>
      <c r="Q253" s="23">
        <v>2255</v>
      </c>
      <c r="R253" s="23">
        <v>3383</v>
      </c>
      <c r="S253" s="23">
        <v>3383</v>
      </c>
      <c r="T253" s="23">
        <v>2255</v>
      </c>
      <c r="U253" s="82">
        <f>3370+3370</f>
        <v>6740</v>
      </c>
      <c r="V253" s="7" t="s">
        <v>686</v>
      </c>
      <c r="W253" s="23">
        <f t="shared" si="27"/>
        <v>-199</v>
      </c>
      <c r="X253" s="7"/>
      <c r="Y253" s="7"/>
      <c r="Z253" s="7"/>
      <c r="AA253" s="23"/>
      <c r="AB253" s="23"/>
      <c r="AC253" s="82"/>
      <c r="AD253" s="23"/>
      <c r="AE253" s="7" t="s">
        <v>440</v>
      </c>
    </row>
    <row r="254" spans="1:34" x14ac:dyDescent="0.2">
      <c r="B254" s="9"/>
      <c r="C254" s="9"/>
      <c r="W254" s="3"/>
      <c r="AA254" s="82"/>
      <c r="AB254" s="82"/>
      <c r="AC254" s="82"/>
    </row>
    <row r="255" spans="1:34" x14ac:dyDescent="0.2">
      <c r="A255" t="s">
        <v>6</v>
      </c>
      <c r="B255" s="9"/>
      <c r="C255" s="9"/>
      <c r="G255" s="17">
        <f>SUM(G222:G254)</f>
        <v>773488</v>
      </c>
      <c r="H255" s="11">
        <f t="shared" ref="H255:U255" si="28">SUM(H222:H254)</f>
        <v>557591.54</v>
      </c>
      <c r="I255" s="4"/>
      <c r="J255" s="4">
        <f t="shared" si="28"/>
        <v>30426.960000000003</v>
      </c>
      <c r="K255" s="4">
        <f t="shared" si="28"/>
        <v>40727.740000000005</v>
      </c>
      <c r="L255" s="4">
        <f t="shared" si="28"/>
        <v>32447.939999999995</v>
      </c>
      <c r="M255" s="4">
        <f t="shared" si="28"/>
        <v>40128.520000000004</v>
      </c>
      <c r="N255" s="4">
        <f t="shared" si="28"/>
        <v>35768.129999999997</v>
      </c>
      <c r="O255" s="4">
        <f t="shared" si="28"/>
        <v>35918.129999999997</v>
      </c>
      <c r="P255" s="4">
        <f t="shared" si="28"/>
        <v>43700.37</v>
      </c>
      <c r="Q255" s="4">
        <f t="shared" si="28"/>
        <v>37877.369999999995</v>
      </c>
      <c r="R255" s="4">
        <f t="shared" si="28"/>
        <v>46440.369999999995</v>
      </c>
      <c r="S255" s="4">
        <f t="shared" si="28"/>
        <v>47803.37</v>
      </c>
      <c r="T255" s="4">
        <f t="shared" si="28"/>
        <v>72343.820000000007</v>
      </c>
      <c r="U255" s="4">
        <f t="shared" si="28"/>
        <v>78063.820000000007</v>
      </c>
      <c r="V255" s="77"/>
      <c r="W255" s="3">
        <f>G255-H255</f>
        <v>215896.45999999996</v>
      </c>
      <c r="X255" s="4"/>
      <c r="Y255" s="4"/>
      <c r="Z255" s="4"/>
      <c r="AA255" s="83">
        <f>SUM(AA222:AA254)</f>
        <v>9296</v>
      </c>
      <c r="AB255" s="83">
        <f t="shared" ref="AB255:AC255" si="29">SUM(AB222:AB254)</f>
        <v>5649</v>
      </c>
      <c r="AC255" s="83">
        <f t="shared" si="29"/>
        <v>1000</v>
      </c>
      <c r="AH255" s="4">
        <f>ROUND(SUM(J255:U255),0)</f>
        <v>541647</v>
      </c>
    </row>
    <row r="256" spans="1:34" x14ac:dyDescent="0.2">
      <c r="B256" s="9"/>
      <c r="C256" s="9"/>
      <c r="W256" s="3"/>
    </row>
    <row r="257" spans="1:31" x14ac:dyDescent="0.2">
      <c r="B257" s="9"/>
      <c r="C257" s="9"/>
      <c r="W257" s="3"/>
    </row>
    <row r="258" spans="1:31" ht="15.75" x14ac:dyDescent="0.25">
      <c r="G258" s="150" t="s">
        <v>12</v>
      </c>
      <c r="W258" s="3"/>
    </row>
    <row r="259" spans="1:31" x14ac:dyDescent="0.2">
      <c r="W259" s="3"/>
    </row>
    <row r="260" spans="1:31" ht="16.5" x14ac:dyDescent="0.25">
      <c r="B260" s="8"/>
      <c r="C260" s="8"/>
      <c r="E260" s="8"/>
      <c r="F260" s="8"/>
      <c r="G260" s="20" t="str">
        <f>$G$3</f>
        <v>2020 PARISH SHARE INFORMATION</v>
      </c>
      <c r="H260" s="14"/>
      <c r="W260" s="3"/>
    </row>
    <row r="261" spans="1:31" x14ac:dyDescent="0.2">
      <c r="G261" s="19"/>
      <c r="H261" s="13"/>
      <c r="W261" s="3"/>
    </row>
    <row r="262" spans="1:31" ht="16.5" x14ac:dyDescent="0.25">
      <c r="A262" s="1" t="s">
        <v>1</v>
      </c>
      <c r="B262" s="151" t="str">
        <f>$B$5</f>
        <v>RM</v>
      </c>
      <c r="C262" s="151" t="str">
        <f>$C$5</f>
        <v>RF</v>
      </c>
      <c r="D262" s="151" t="str">
        <f>$D$5</f>
        <v>Accts</v>
      </c>
      <c r="E262" s="151"/>
      <c r="F262" s="151" t="str">
        <f>$F$5</f>
        <v>Share DD</v>
      </c>
      <c r="G262" s="153" t="str">
        <f>$G$5</f>
        <v xml:space="preserve">2020 Share </v>
      </c>
      <c r="H262" s="154" t="str">
        <f>$H$5</f>
        <v xml:space="preserve">2020 Paid </v>
      </c>
      <c r="I262" s="154" t="str">
        <f>$I$5</f>
        <v xml:space="preserve">% Paid </v>
      </c>
      <c r="J262" s="155">
        <f>$J$5</f>
        <v>43861</v>
      </c>
      <c r="K262" s="155">
        <f>$K$5</f>
        <v>43890</v>
      </c>
      <c r="L262" s="155">
        <f>$L$5</f>
        <v>43921</v>
      </c>
      <c r="M262" s="155">
        <f>$M$5</f>
        <v>43951</v>
      </c>
      <c r="N262" s="155">
        <f>$N$5</f>
        <v>43982</v>
      </c>
      <c r="O262" s="155">
        <f>$O$5</f>
        <v>44012</v>
      </c>
      <c r="P262" s="155">
        <f>$P$5</f>
        <v>44043</v>
      </c>
      <c r="Q262" s="155">
        <f>$Q$5</f>
        <v>44074</v>
      </c>
      <c r="R262" s="155">
        <f>$R$5</f>
        <v>44104</v>
      </c>
      <c r="S262" s="155">
        <f>$S$5</f>
        <v>44135</v>
      </c>
      <c r="T262" s="155">
        <f>$T$5</f>
        <v>44165</v>
      </c>
      <c r="U262" s="155">
        <f>$U$5</f>
        <v>44196</v>
      </c>
      <c r="V262" s="78"/>
      <c r="W262" s="157" t="str">
        <f>$W$5</f>
        <v xml:space="preserve">Outstanding </v>
      </c>
      <c r="X262" s="2"/>
      <c r="Y262" s="2"/>
      <c r="Z262" s="2"/>
      <c r="AA262" s="173">
        <v>44197</v>
      </c>
      <c r="AB262" s="173">
        <v>44228</v>
      </c>
      <c r="AC262" s="173">
        <v>44256</v>
      </c>
      <c r="AE262" s="152" t="str">
        <f>$AE$5</f>
        <v>Benefice</v>
      </c>
    </row>
    <row r="263" spans="1:31" ht="16.5" x14ac:dyDescent="0.25">
      <c r="G263" s="146" t="s">
        <v>1040</v>
      </c>
      <c r="H263" s="147" t="s">
        <v>1040</v>
      </c>
      <c r="I263" s="148"/>
      <c r="J263" s="147" t="s">
        <v>1040</v>
      </c>
      <c r="K263" s="147" t="s">
        <v>1040</v>
      </c>
      <c r="L263" s="147" t="s">
        <v>1040</v>
      </c>
      <c r="M263" s="147" t="s">
        <v>1040</v>
      </c>
      <c r="N263" s="147" t="s">
        <v>1040</v>
      </c>
      <c r="O263" s="147" t="s">
        <v>1040</v>
      </c>
      <c r="P263" s="147" t="s">
        <v>1040</v>
      </c>
      <c r="Q263" s="147" t="s">
        <v>1040</v>
      </c>
      <c r="R263" s="147" t="s">
        <v>1040</v>
      </c>
      <c r="S263" s="147" t="s">
        <v>1040</v>
      </c>
      <c r="T263" s="147" t="s">
        <v>1040</v>
      </c>
      <c r="U263" s="147" t="s">
        <v>1040</v>
      </c>
      <c r="W263" s="3"/>
      <c r="AA263" s="174" t="s">
        <v>1040</v>
      </c>
      <c r="AB263" s="174" t="s">
        <v>1040</v>
      </c>
      <c r="AC263" s="174" t="s">
        <v>1040</v>
      </c>
    </row>
    <row r="264" spans="1:31" x14ac:dyDescent="0.2">
      <c r="W264" s="3"/>
    </row>
    <row r="265" spans="1:31" x14ac:dyDescent="0.2">
      <c r="A265" s="141" t="s">
        <v>207</v>
      </c>
      <c r="B265" s="9" t="s">
        <v>495</v>
      </c>
      <c r="C265" s="9">
        <v>0</v>
      </c>
      <c r="D265" s="9">
        <v>0</v>
      </c>
      <c r="E265" s="9"/>
      <c r="F265" s="9">
        <v>0</v>
      </c>
      <c r="G265" s="4">
        <v>137931</v>
      </c>
      <c r="H265" s="4">
        <f t="shared" ref="H265:H288" si="30">SUM(J265:U265)+SUM(AA265:AC265)</f>
        <v>137352</v>
      </c>
      <c r="I265" s="24">
        <f t="shared" ref="I265:I288" si="31">ROUND((H265/G265),4)</f>
        <v>0.99580000000000002</v>
      </c>
      <c r="J265" s="23">
        <v>0</v>
      </c>
      <c r="K265" s="23"/>
      <c r="L265" s="23">
        <v>34338</v>
      </c>
      <c r="M265" s="23"/>
      <c r="N265" s="23">
        <v>22892</v>
      </c>
      <c r="O265" s="23">
        <v>11446</v>
      </c>
      <c r="P265" s="23">
        <v>11446</v>
      </c>
      <c r="Q265" s="23">
        <v>11446</v>
      </c>
      <c r="R265" s="23">
        <v>11446</v>
      </c>
      <c r="S265" s="23">
        <v>11446</v>
      </c>
      <c r="T265" s="23">
        <v>11446</v>
      </c>
      <c r="U265" s="23">
        <v>11446</v>
      </c>
      <c r="V265" s="79" t="s">
        <v>687</v>
      </c>
      <c r="W265" s="23">
        <f t="shared" ref="W265:W288" si="32">G265-H265</f>
        <v>579</v>
      </c>
      <c r="X265" s="7"/>
      <c r="Y265" s="4"/>
      <c r="Z265" s="4"/>
      <c r="AA265" s="82"/>
      <c r="AB265" s="82"/>
      <c r="AC265" s="82"/>
      <c r="AE265" s="7" t="s">
        <v>441</v>
      </c>
    </row>
    <row r="266" spans="1:31" x14ac:dyDescent="0.2">
      <c r="A266" s="141" t="s">
        <v>208</v>
      </c>
      <c r="B266" s="9" t="s">
        <v>495</v>
      </c>
      <c r="C266" s="9" t="s">
        <v>495</v>
      </c>
      <c r="D266" s="9" t="s">
        <v>495</v>
      </c>
      <c r="E266" s="9"/>
      <c r="F266" s="9">
        <v>0</v>
      </c>
      <c r="G266" s="4">
        <v>14865</v>
      </c>
      <c r="H266" s="4">
        <f t="shared" si="30"/>
        <v>14865</v>
      </c>
      <c r="I266" s="24">
        <f t="shared" si="31"/>
        <v>1</v>
      </c>
      <c r="J266" s="23">
        <v>1000</v>
      </c>
      <c r="K266" s="23"/>
      <c r="L266" s="23"/>
      <c r="M266" s="23"/>
      <c r="N266" s="23">
        <v>1000</v>
      </c>
      <c r="O266" s="23">
        <v>1000</v>
      </c>
      <c r="P266" s="23">
        <v>1000</v>
      </c>
      <c r="Q266" s="23">
        <v>2000</v>
      </c>
      <c r="R266" s="23">
        <v>1000</v>
      </c>
      <c r="S266" s="23"/>
      <c r="T266" s="23">
        <v>1000</v>
      </c>
      <c r="U266" s="23">
        <v>6865</v>
      </c>
      <c r="V266" s="79" t="s">
        <v>688</v>
      </c>
      <c r="W266" s="23">
        <f t="shared" si="32"/>
        <v>0</v>
      </c>
      <c r="X266" s="7"/>
      <c r="Y266" s="79"/>
      <c r="Z266" s="79"/>
      <c r="AA266" s="82"/>
      <c r="AB266" s="82"/>
      <c r="AC266" s="82"/>
      <c r="AD266" s="23"/>
      <c r="AE266" s="7" t="s">
        <v>441</v>
      </c>
    </row>
    <row r="267" spans="1:31" x14ac:dyDescent="0.2">
      <c r="A267" s="141" t="s">
        <v>209</v>
      </c>
      <c r="B267" s="9" t="s">
        <v>495</v>
      </c>
      <c r="C267" s="9" t="s">
        <v>495</v>
      </c>
      <c r="D267" s="9">
        <v>0</v>
      </c>
      <c r="E267" s="9"/>
      <c r="F267" s="9" t="s">
        <v>495</v>
      </c>
      <c r="G267" s="4">
        <v>6924</v>
      </c>
      <c r="H267" s="4">
        <f t="shared" si="30"/>
        <v>6924</v>
      </c>
      <c r="I267" s="24">
        <f t="shared" si="31"/>
        <v>1</v>
      </c>
      <c r="J267" s="23">
        <v>252.5</v>
      </c>
      <c r="K267" s="23">
        <v>252.5</v>
      </c>
      <c r="L267" s="23">
        <v>252.5</v>
      </c>
      <c r="M267" s="23">
        <v>252.5</v>
      </c>
      <c r="N267" s="23">
        <v>502.5</v>
      </c>
      <c r="O267" s="23">
        <v>1752.5</v>
      </c>
      <c r="P267" s="23">
        <v>252.5</v>
      </c>
      <c r="Q267" s="23">
        <v>252.5</v>
      </c>
      <c r="R267" s="23">
        <v>1752.5</v>
      </c>
      <c r="S267" s="23">
        <v>1062.5</v>
      </c>
      <c r="T267" s="23">
        <v>252.5</v>
      </c>
      <c r="U267" s="23">
        <v>86.5</v>
      </c>
      <c r="V267" s="79" t="s">
        <v>689</v>
      </c>
      <c r="W267" s="23">
        <f t="shared" si="32"/>
        <v>0</v>
      </c>
      <c r="X267" s="7"/>
      <c r="Y267" s="79"/>
      <c r="Z267" s="79"/>
      <c r="AA267" s="82"/>
      <c r="AB267" s="82"/>
      <c r="AC267" s="82"/>
      <c r="AD267" s="23"/>
      <c r="AE267" s="7" t="s">
        <v>445</v>
      </c>
    </row>
    <row r="268" spans="1:31" x14ac:dyDescent="0.2">
      <c r="A268" s="141" t="s">
        <v>210</v>
      </c>
      <c r="B268" s="9" t="s">
        <v>495</v>
      </c>
      <c r="C268" s="9" t="s">
        <v>495</v>
      </c>
      <c r="D268" s="9" t="s">
        <v>495</v>
      </c>
      <c r="E268" s="9"/>
      <c r="F268" s="9" t="s">
        <v>495</v>
      </c>
      <c r="G268" s="4">
        <v>6924</v>
      </c>
      <c r="H268" s="4">
        <f t="shared" si="30"/>
        <v>6924</v>
      </c>
      <c r="I268" s="24">
        <f t="shared" si="31"/>
        <v>1</v>
      </c>
      <c r="J268" s="23">
        <v>500</v>
      </c>
      <c r="K268" s="23">
        <v>500</v>
      </c>
      <c r="L268" s="23">
        <v>500</v>
      </c>
      <c r="M268" s="23">
        <v>500</v>
      </c>
      <c r="N268" s="23">
        <v>500</v>
      </c>
      <c r="O268" s="23">
        <v>500</v>
      </c>
      <c r="P268" s="23">
        <v>500</v>
      </c>
      <c r="Q268" s="23">
        <v>500</v>
      </c>
      <c r="R268" s="23">
        <v>500</v>
      </c>
      <c r="S268" s="23">
        <v>500</v>
      </c>
      <c r="T268" s="23">
        <v>500</v>
      </c>
      <c r="U268" s="23">
        <v>500</v>
      </c>
      <c r="V268" s="79" t="s">
        <v>690</v>
      </c>
      <c r="W268" s="23">
        <f t="shared" si="32"/>
        <v>0</v>
      </c>
      <c r="X268" s="7"/>
      <c r="Y268" s="79"/>
      <c r="Z268" s="79"/>
      <c r="AA268" s="82"/>
      <c r="AB268" s="82">
        <v>924</v>
      </c>
      <c r="AC268" s="82"/>
      <c r="AD268" s="23"/>
      <c r="AE268" s="7" t="s">
        <v>445</v>
      </c>
    </row>
    <row r="269" spans="1:31" x14ac:dyDescent="0.2">
      <c r="A269" s="141" t="s">
        <v>211</v>
      </c>
      <c r="B269" s="9" t="s">
        <v>495</v>
      </c>
      <c r="C269" s="9" t="s">
        <v>495</v>
      </c>
      <c r="D269" s="9" t="s">
        <v>495</v>
      </c>
      <c r="E269" s="9"/>
      <c r="F269" s="9" t="s">
        <v>495</v>
      </c>
      <c r="G269" s="4">
        <v>4846</v>
      </c>
      <c r="H269" s="4">
        <f t="shared" si="30"/>
        <v>4846</v>
      </c>
      <c r="I269" s="24">
        <f t="shared" si="31"/>
        <v>1</v>
      </c>
      <c r="J269" s="23">
        <v>403.87</v>
      </c>
      <c r="K269" s="23">
        <v>403.83</v>
      </c>
      <c r="L269" s="23">
        <v>403.83</v>
      </c>
      <c r="M269" s="23">
        <v>403.83</v>
      </c>
      <c r="N269" s="23">
        <v>403.83</v>
      </c>
      <c r="O269" s="23">
        <v>403.83</v>
      </c>
      <c r="P269" s="23">
        <v>403.83</v>
      </c>
      <c r="Q269" s="23">
        <v>403.83</v>
      </c>
      <c r="R269" s="23">
        <v>403.83</v>
      </c>
      <c r="S269" s="23">
        <v>403.83</v>
      </c>
      <c r="T269" s="23">
        <v>403.83</v>
      </c>
      <c r="U269" s="23">
        <v>403.83</v>
      </c>
      <c r="V269" s="79" t="s">
        <v>691</v>
      </c>
      <c r="W269" s="23">
        <f t="shared" si="32"/>
        <v>0</v>
      </c>
      <c r="X269" s="7"/>
      <c r="Y269" s="79"/>
      <c r="Z269" s="79"/>
      <c r="AA269" s="82"/>
      <c r="AB269" s="82"/>
      <c r="AC269" s="82"/>
      <c r="AD269" s="23"/>
      <c r="AE269" s="7" t="s">
        <v>445</v>
      </c>
    </row>
    <row r="270" spans="1:31" x14ac:dyDescent="0.2">
      <c r="A270" s="141" t="s">
        <v>212</v>
      </c>
      <c r="B270" s="9" t="s">
        <v>495</v>
      </c>
      <c r="C270" s="9" t="s">
        <v>495</v>
      </c>
      <c r="D270" s="9" t="s">
        <v>495</v>
      </c>
      <c r="E270" s="9"/>
      <c r="F270" s="9">
        <v>0</v>
      </c>
      <c r="G270" s="4">
        <v>35889</v>
      </c>
      <c r="H270" s="4">
        <f t="shared" si="30"/>
        <v>27789.03</v>
      </c>
      <c r="I270" s="24">
        <f t="shared" si="31"/>
        <v>0.77429999999999999</v>
      </c>
      <c r="J270" s="23">
        <v>0</v>
      </c>
      <c r="K270" s="23">
        <v>3087.67</v>
      </c>
      <c r="L270" s="23">
        <v>3087.67</v>
      </c>
      <c r="M270" s="23"/>
      <c r="N270" s="23">
        <v>3087.67</v>
      </c>
      <c r="O270" s="23">
        <v>3087.67</v>
      </c>
      <c r="P270" s="23">
        <v>3087.67</v>
      </c>
      <c r="Q270" s="23">
        <v>3087.67</v>
      </c>
      <c r="R270" s="23"/>
      <c r="S270" s="23">
        <v>3087.67</v>
      </c>
      <c r="T270" s="23">
        <v>3087.67</v>
      </c>
      <c r="U270" s="23">
        <v>3087.67</v>
      </c>
      <c r="V270" s="79" t="s">
        <v>692</v>
      </c>
      <c r="W270" s="23">
        <f t="shared" si="32"/>
        <v>8099.9700000000012</v>
      </c>
      <c r="X270" s="7"/>
      <c r="Y270" s="79"/>
      <c r="Z270" s="79"/>
      <c r="AA270" s="82"/>
      <c r="AB270" s="82"/>
      <c r="AC270" s="82"/>
      <c r="AD270" s="23"/>
      <c r="AE270" s="7" t="s">
        <v>442</v>
      </c>
    </row>
    <row r="271" spans="1:31" x14ac:dyDescent="0.2">
      <c r="A271" s="141" t="s">
        <v>213</v>
      </c>
      <c r="B271" s="9" t="s">
        <v>495</v>
      </c>
      <c r="C271" s="9" t="s">
        <v>495</v>
      </c>
      <c r="D271" s="9" t="s">
        <v>495</v>
      </c>
      <c r="E271" s="9"/>
      <c r="F271" s="9" t="s">
        <v>495</v>
      </c>
      <c r="G271" s="4">
        <v>15528</v>
      </c>
      <c r="H271" s="4">
        <f t="shared" si="30"/>
        <v>10926</v>
      </c>
      <c r="I271" s="24">
        <f t="shared" si="31"/>
        <v>0.7036</v>
      </c>
      <c r="J271" s="23">
        <v>500</v>
      </c>
      <c r="K271" s="23">
        <v>500</v>
      </c>
      <c r="L271" s="23">
        <v>500</v>
      </c>
      <c r="M271" s="23">
        <v>500</v>
      </c>
      <c r="N271" s="23">
        <v>2500</v>
      </c>
      <c r="O271" s="23">
        <v>500</v>
      </c>
      <c r="P271" s="23">
        <v>500</v>
      </c>
      <c r="Q271" s="23">
        <v>3000</v>
      </c>
      <c r="R271" s="23">
        <v>500</v>
      </c>
      <c r="S271" s="23">
        <v>500</v>
      </c>
      <c r="T271" s="23">
        <v>500</v>
      </c>
      <c r="U271" s="23">
        <v>926</v>
      </c>
      <c r="V271" s="79" t="s">
        <v>693</v>
      </c>
      <c r="W271" s="23">
        <f t="shared" si="32"/>
        <v>4602</v>
      </c>
      <c r="X271" s="7"/>
      <c r="Y271" s="79"/>
      <c r="Z271" s="79"/>
      <c r="AA271" s="82"/>
      <c r="AB271" s="82"/>
      <c r="AC271" s="82"/>
      <c r="AD271" s="23"/>
      <c r="AE271" s="7" t="s">
        <v>451</v>
      </c>
    </row>
    <row r="272" spans="1:31" x14ac:dyDescent="0.2">
      <c r="A272" s="141" t="s">
        <v>214</v>
      </c>
      <c r="B272" s="9" t="s">
        <v>495</v>
      </c>
      <c r="C272" s="9" t="s">
        <v>495</v>
      </c>
      <c r="D272" s="9" t="s">
        <v>495</v>
      </c>
      <c r="E272" s="9"/>
      <c r="F272" s="9">
        <v>0</v>
      </c>
      <c r="G272" s="4">
        <v>29364</v>
      </c>
      <c r="H272" s="4">
        <f t="shared" si="30"/>
        <v>7000</v>
      </c>
      <c r="I272" s="24">
        <f t="shared" si="31"/>
        <v>0.2384</v>
      </c>
      <c r="J272" s="23">
        <v>0</v>
      </c>
      <c r="K272" s="23"/>
      <c r="L272" s="23"/>
      <c r="M272" s="23"/>
      <c r="N272" s="23"/>
      <c r="O272" s="23"/>
      <c r="P272" s="23"/>
      <c r="Q272" s="23">
        <v>7000</v>
      </c>
      <c r="R272" s="23"/>
      <c r="S272" s="23"/>
      <c r="T272" s="23"/>
      <c r="U272" s="23"/>
      <c r="V272" s="79" t="s">
        <v>694</v>
      </c>
      <c r="W272" s="23">
        <f t="shared" si="32"/>
        <v>22364</v>
      </c>
      <c r="X272" s="7"/>
      <c r="Y272" s="79"/>
      <c r="Z272" s="79"/>
      <c r="AA272" s="82"/>
      <c r="AB272" s="82"/>
      <c r="AC272" s="82"/>
      <c r="AD272" s="23"/>
      <c r="AE272" s="7" t="s">
        <v>442</v>
      </c>
    </row>
    <row r="273" spans="1:31" x14ac:dyDescent="0.2">
      <c r="A273" s="141" t="s">
        <v>215</v>
      </c>
      <c r="B273" s="9" t="s">
        <v>495</v>
      </c>
      <c r="C273" s="9">
        <v>0</v>
      </c>
      <c r="D273" s="9">
        <v>0</v>
      </c>
      <c r="E273" s="9"/>
      <c r="F273" s="9">
        <v>0</v>
      </c>
      <c r="G273" s="4">
        <v>4447</v>
      </c>
      <c r="H273" s="4">
        <f t="shared" si="30"/>
        <v>2000</v>
      </c>
      <c r="I273" s="24">
        <f t="shared" si="31"/>
        <v>0.44969999999999999</v>
      </c>
      <c r="J273" s="23">
        <v>0</v>
      </c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79" t="s">
        <v>695</v>
      </c>
      <c r="W273" s="23">
        <f t="shared" si="32"/>
        <v>2447</v>
      </c>
      <c r="X273" s="7"/>
      <c r="Y273" s="79"/>
      <c r="Z273" s="79"/>
      <c r="AA273" s="82">
        <v>1000</v>
      </c>
      <c r="AB273" s="82">
        <v>1000</v>
      </c>
      <c r="AC273" s="82"/>
      <c r="AD273" s="23"/>
      <c r="AE273" s="7" t="s">
        <v>451</v>
      </c>
    </row>
    <row r="274" spans="1:31" x14ac:dyDescent="0.2">
      <c r="A274" s="141" t="s">
        <v>216</v>
      </c>
      <c r="B274" s="9" t="s">
        <v>495</v>
      </c>
      <c r="C274" s="9" t="s">
        <v>495</v>
      </c>
      <c r="D274" s="9" t="s">
        <v>495</v>
      </c>
      <c r="E274" s="9"/>
      <c r="F274" s="9">
        <v>0</v>
      </c>
      <c r="G274" s="4">
        <v>74014</v>
      </c>
      <c r="H274" s="4">
        <f t="shared" si="30"/>
        <v>74014</v>
      </c>
      <c r="I274" s="24">
        <f t="shared" si="31"/>
        <v>1</v>
      </c>
      <c r="J274" s="23">
        <v>6000</v>
      </c>
      <c r="K274" s="23">
        <v>6000</v>
      </c>
      <c r="L274" s="23"/>
      <c r="M274" s="23">
        <v>10000</v>
      </c>
      <c r="N274" s="23"/>
      <c r="O274" s="23">
        <v>6500</v>
      </c>
      <c r="P274" s="23">
        <v>7000</v>
      </c>
      <c r="Q274" s="23">
        <v>6500</v>
      </c>
      <c r="R274" s="23">
        <v>7000</v>
      </c>
      <c r="S274" s="23">
        <v>8000</v>
      </c>
      <c r="T274" s="23">
        <v>17014</v>
      </c>
      <c r="U274" s="23"/>
      <c r="V274" s="79" t="s">
        <v>696</v>
      </c>
      <c r="W274" s="23">
        <f t="shared" si="32"/>
        <v>0</v>
      </c>
      <c r="X274" s="7"/>
      <c r="Y274" s="79"/>
      <c r="Z274" s="79"/>
      <c r="AA274" s="82"/>
      <c r="AB274" s="82"/>
      <c r="AC274" s="82"/>
      <c r="AD274" s="23"/>
      <c r="AE274" s="7" t="s">
        <v>443</v>
      </c>
    </row>
    <row r="275" spans="1:31" x14ac:dyDescent="0.2">
      <c r="A275" s="141" t="s">
        <v>217</v>
      </c>
      <c r="B275" s="9">
        <v>0</v>
      </c>
      <c r="C275" s="9">
        <v>0</v>
      </c>
      <c r="D275" s="9">
        <v>0</v>
      </c>
      <c r="E275" s="9"/>
      <c r="F275" s="9">
        <v>0</v>
      </c>
      <c r="G275" s="4">
        <v>12489</v>
      </c>
      <c r="H275" s="4">
        <f t="shared" si="30"/>
        <v>12489</v>
      </c>
      <c r="I275" s="24">
        <f t="shared" si="31"/>
        <v>1</v>
      </c>
      <c r="J275" s="23">
        <v>0</v>
      </c>
      <c r="K275" s="23"/>
      <c r="L275" s="23"/>
      <c r="M275" s="23"/>
      <c r="N275" s="23"/>
      <c r="O275" s="23">
        <v>5000</v>
      </c>
      <c r="P275" s="23"/>
      <c r="Q275" s="23">
        <v>4000</v>
      </c>
      <c r="R275" s="23"/>
      <c r="S275" s="23"/>
      <c r="T275" s="23">
        <v>3489</v>
      </c>
      <c r="U275" s="23"/>
      <c r="V275" s="79" t="s">
        <v>697</v>
      </c>
      <c r="W275" s="23">
        <f t="shared" si="32"/>
        <v>0</v>
      </c>
      <c r="X275" s="7"/>
      <c r="Y275" s="79"/>
      <c r="Z275" s="79"/>
      <c r="AA275" s="82"/>
      <c r="AB275" s="82"/>
      <c r="AC275" s="82"/>
      <c r="AD275" s="23"/>
      <c r="AE275" s="7" t="s">
        <v>444</v>
      </c>
    </row>
    <row r="276" spans="1:31" x14ac:dyDescent="0.2">
      <c r="A276" s="141" t="s">
        <v>218</v>
      </c>
      <c r="B276" s="9" t="s">
        <v>495</v>
      </c>
      <c r="C276" s="9">
        <v>0</v>
      </c>
      <c r="D276" s="9" t="s">
        <v>495</v>
      </c>
      <c r="E276" s="9"/>
      <c r="F276" s="9" t="s">
        <v>495</v>
      </c>
      <c r="G276" s="4">
        <v>8234</v>
      </c>
      <c r="H276" s="4">
        <f t="shared" si="30"/>
        <v>3000</v>
      </c>
      <c r="I276" s="24">
        <f t="shared" si="31"/>
        <v>0.36430000000000001</v>
      </c>
      <c r="J276" s="23">
        <v>250</v>
      </c>
      <c r="K276" s="23">
        <v>250</v>
      </c>
      <c r="L276" s="23">
        <v>250</v>
      </c>
      <c r="M276" s="23">
        <v>250</v>
      </c>
      <c r="N276" s="23">
        <v>250</v>
      </c>
      <c r="O276" s="23">
        <v>250</v>
      </c>
      <c r="P276" s="23">
        <v>250</v>
      </c>
      <c r="Q276" s="23">
        <v>250</v>
      </c>
      <c r="R276" s="23">
        <v>250</v>
      </c>
      <c r="S276" s="23">
        <v>250</v>
      </c>
      <c r="T276" s="23">
        <v>250</v>
      </c>
      <c r="U276" s="23">
        <v>250</v>
      </c>
      <c r="V276" s="79" t="s">
        <v>698</v>
      </c>
      <c r="W276" s="23">
        <f t="shared" si="32"/>
        <v>5234</v>
      </c>
      <c r="X276" s="7"/>
      <c r="Y276" s="79"/>
      <c r="Z276" s="79"/>
      <c r="AA276" s="82"/>
      <c r="AB276" s="82"/>
      <c r="AC276" s="82"/>
      <c r="AD276" s="23"/>
      <c r="AE276" s="7" t="s">
        <v>444</v>
      </c>
    </row>
    <row r="277" spans="1:31" x14ac:dyDescent="0.2">
      <c r="A277" s="141" t="s">
        <v>219</v>
      </c>
      <c r="B277" s="9" t="s">
        <v>495</v>
      </c>
      <c r="C277" s="9" t="s">
        <v>495</v>
      </c>
      <c r="D277" s="9" t="s">
        <v>495</v>
      </c>
      <c r="E277" s="9"/>
      <c r="F277" s="9">
        <v>0</v>
      </c>
      <c r="G277" s="4">
        <v>5352</v>
      </c>
      <c r="H277" s="4">
        <f t="shared" si="30"/>
        <v>5152</v>
      </c>
      <c r="I277" s="24">
        <f t="shared" si="31"/>
        <v>0.96260000000000001</v>
      </c>
      <c r="J277" s="23">
        <v>0</v>
      </c>
      <c r="K277" s="23">
        <v>200</v>
      </c>
      <c r="L277" s="23">
        <v>200</v>
      </c>
      <c r="M277" s="23">
        <v>200</v>
      </c>
      <c r="N277" s="23">
        <v>200</v>
      </c>
      <c r="O277" s="23">
        <v>200</v>
      </c>
      <c r="P277" s="23">
        <v>2200</v>
      </c>
      <c r="Q277" s="23">
        <v>200</v>
      </c>
      <c r="R277" s="23">
        <v>800</v>
      </c>
      <c r="S277" s="23">
        <v>200</v>
      </c>
      <c r="T277" s="23">
        <v>200</v>
      </c>
      <c r="U277" s="23">
        <v>352</v>
      </c>
      <c r="V277" s="79" t="s">
        <v>699</v>
      </c>
      <c r="W277" s="23">
        <f t="shared" si="32"/>
        <v>200</v>
      </c>
      <c r="X277" s="7"/>
      <c r="Y277" s="79"/>
      <c r="Z277" s="79"/>
      <c r="AA277" s="82">
        <v>200</v>
      </c>
      <c r="AB277" s="82"/>
      <c r="AC277" s="82"/>
      <c r="AD277" s="23"/>
      <c r="AE277" s="7" t="s">
        <v>444</v>
      </c>
    </row>
    <row r="278" spans="1:31" x14ac:dyDescent="0.2">
      <c r="A278" s="141" t="s">
        <v>220</v>
      </c>
      <c r="B278" s="9" t="s">
        <v>495</v>
      </c>
      <c r="C278" s="9" t="s">
        <v>495</v>
      </c>
      <c r="D278" s="9" t="s">
        <v>495</v>
      </c>
      <c r="E278" s="9"/>
      <c r="F278" s="9" t="s">
        <v>495</v>
      </c>
      <c r="G278" s="4">
        <v>50544</v>
      </c>
      <c r="H278" s="4">
        <f t="shared" si="30"/>
        <v>50544</v>
      </c>
      <c r="I278" s="24">
        <f t="shared" si="31"/>
        <v>1</v>
      </c>
      <c r="J278" s="23">
        <v>4212</v>
      </c>
      <c r="K278" s="23">
        <v>4212</v>
      </c>
      <c r="L278" s="23">
        <v>4212</v>
      </c>
      <c r="M278" s="23">
        <v>4212</v>
      </c>
      <c r="N278" s="23">
        <v>4212</v>
      </c>
      <c r="O278" s="23">
        <v>4212</v>
      </c>
      <c r="P278" s="23">
        <v>4212</v>
      </c>
      <c r="Q278" s="23">
        <v>4212</v>
      </c>
      <c r="R278" s="23">
        <v>4212</v>
      </c>
      <c r="S278" s="23">
        <v>4212</v>
      </c>
      <c r="T278" s="23">
        <v>4212</v>
      </c>
      <c r="U278" s="23">
        <v>4212</v>
      </c>
      <c r="V278" s="79" t="s">
        <v>700</v>
      </c>
      <c r="W278" s="23">
        <f t="shared" si="32"/>
        <v>0</v>
      </c>
      <c r="X278" s="7"/>
      <c r="Y278" s="79"/>
      <c r="Z278" s="79"/>
      <c r="AA278" s="82">
        <f>841.6-841.6</f>
        <v>0</v>
      </c>
      <c r="AB278" s="82"/>
      <c r="AC278" s="82"/>
      <c r="AD278" s="23"/>
      <c r="AE278" s="7" t="s">
        <v>445</v>
      </c>
    </row>
    <row r="279" spans="1:31" x14ac:dyDescent="0.2">
      <c r="A279" s="141" t="s">
        <v>221</v>
      </c>
      <c r="B279" s="9" t="s">
        <v>495</v>
      </c>
      <c r="C279" s="9" t="s">
        <v>495</v>
      </c>
      <c r="D279" s="9">
        <v>0</v>
      </c>
      <c r="E279" s="9"/>
      <c r="F279" s="9">
        <v>0</v>
      </c>
      <c r="G279" s="4">
        <v>54722</v>
      </c>
      <c r="H279" s="4">
        <f t="shared" si="30"/>
        <v>38305.399999999994</v>
      </c>
      <c r="I279" s="24">
        <f t="shared" si="31"/>
        <v>0.7</v>
      </c>
      <c r="J279" s="23">
        <v>5306.3</v>
      </c>
      <c r="K279" s="23">
        <v>5306.3</v>
      </c>
      <c r="L279" s="23">
        <v>331.8</v>
      </c>
      <c r="M279" s="23">
        <v>5472.2</v>
      </c>
      <c r="N279" s="23">
        <v>5472.2</v>
      </c>
      <c r="O279" s="23">
        <v>2736.1</v>
      </c>
      <c r="P279" s="23">
        <v>2736.1</v>
      </c>
      <c r="Q279" s="23">
        <v>2736.1</v>
      </c>
      <c r="R279" s="23">
        <v>2736.1</v>
      </c>
      <c r="S279" s="23">
        <v>2736.1</v>
      </c>
      <c r="T279" s="23">
        <v>2736.1</v>
      </c>
      <c r="U279" s="23"/>
      <c r="V279" s="79" t="s">
        <v>701</v>
      </c>
      <c r="W279" s="23">
        <f t="shared" si="32"/>
        <v>16416.600000000006</v>
      </c>
      <c r="X279" s="7"/>
      <c r="Y279" s="79"/>
      <c r="Z279" s="79"/>
      <c r="AA279" s="82"/>
      <c r="AB279" s="82"/>
      <c r="AC279" s="82"/>
      <c r="AD279" s="23"/>
      <c r="AE279" s="7" t="s">
        <v>446</v>
      </c>
    </row>
    <row r="280" spans="1:31" x14ac:dyDescent="0.2">
      <c r="A280" s="141" t="s">
        <v>222</v>
      </c>
      <c r="B280" s="9" t="s">
        <v>495</v>
      </c>
      <c r="C280" s="9" t="s">
        <v>495</v>
      </c>
      <c r="D280" s="9" t="s">
        <v>495</v>
      </c>
      <c r="E280" s="9"/>
      <c r="F280" s="9">
        <v>0</v>
      </c>
      <c r="G280" s="4">
        <v>11607</v>
      </c>
      <c r="H280" s="4">
        <f t="shared" si="30"/>
        <v>6000</v>
      </c>
      <c r="I280" s="24">
        <f t="shared" si="31"/>
        <v>0.51690000000000003</v>
      </c>
      <c r="J280" s="23">
        <v>0</v>
      </c>
      <c r="K280" s="23"/>
      <c r="L280" s="23"/>
      <c r="M280" s="23">
        <v>2000</v>
      </c>
      <c r="N280" s="23"/>
      <c r="O280" s="23"/>
      <c r="P280" s="23">
        <v>1000</v>
      </c>
      <c r="Q280" s="23"/>
      <c r="R280" s="23"/>
      <c r="S280" s="23"/>
      <c r="T280" s="23"/>
      <c r="U280" s="23">
        <v>3000</v>
      </c>
      <c r="V280" s="79" t="s">
        <v>702</v>
      </c>
      <c r="W280" s="23">
        <f t="shared" si="32"/>
        <v>5607</v>
      </c>
      <c r="X280" s="7"/>
      <c r="Y280" s="79"/>
      <c r="Z280" s="79"/>
      <c r="AA280" s="82"/>
      <c r="AB280" s="82"/>
      <c r="AC280" s="82"/>
      <c r="AD280" s="23"/>
      <c r="AE280" s="7" t="s">
        <v>446</v>
      </c>
    </row>
    <row r="281" spans="1:31" x14ac:dyDescent="0.2">
      <c r="A281" s="141" t="s">
        <v>223</v>
      </c>
      <c r="B281" s="9" t="s">
        <v>495</v>
      </c>
      <c r="C281" s="9" t="s">
        <v>495</v>
      </c>
      <c r="D281" s="9" t="s">
        <v>495</v>
      </c>
      <c r="E281" s="9"/>
      <c r="F281" s="9" t="s">
        <v>495</v>
      </c>
      <c r="G281" s="4">
        <v>33762</v>
      </c>
      <c r="H281" s="4">
        <f t="shared" si="30"/>
        <v>33762</v>
      </c>
      <c r="I281" s="24">
        <f t="shared" si="31"/>
        <v>1</v>
      </c>
      <c r="J281" s="23">
        <v>2000</v>
      </c>
      <c r="K281" s="23">
        <v>2000</v>
      </c>
      <c r="L281" s="23">
        <v>2976.2</v>
      </c>
      <c r="M281" s="23">
        <v>2976.2</v>
      </c>
      <c r="N281" s="23">
        <v>2976.2</v>
      </c>
      <c r="O281" s="23">
        <v>2976.2</v>
      </c>
      <c r="P281" s="23">
        <v>2976.2</v>
      </c>
      <c r="Q281" s="23">
        <v>2976.2</v>
      </c>
      <c r="R281" s="23">
        <v>2976.2</v>
      </c>
      <c r="S281" s="23">
        <v>2976.2</v>
      </c>
      <c r="T281" s="23">
        <v>2976.2</v>
      </c>
      <c r="U281" s="23">
        <v>2976.2</v>
      </c>
      <c r="V281" s="79" t="s">
        <v>703</v>
      </c>
      <c r="W281" s="23">
        <f t="shared" si="32"/>
        <v>0</v>
      </c>
      <c r="X281" s="7"/>
      <c r="Y281" s="79"/>
      <c r="Z281" s="79"/>
      <c r="AA281" s="82"/>
      <c r="AB281" s="82"/>
      <c r="AC281" s="82"/>
      <c r="AD281" s="23"/>
      <c r="AE281" s="7" t="s">
        <v>952</v>
      </c>
    </row>
    <row r="282" spans="1:31" x14ac:dyDescent="0.2">
      <c r="A282" s="141" t="s">
        <v>224</v>
      </c>
      <c r="B282" s="9" t="s">
        <v>495</v>
      </c>
      <c r="C282" s="9">
        <v>0</v>
      </c>
      <c r="D282" s="9">
        <v>0</v>
      </c>
      <c r="E282" s="9"/>
      <c r="F282" s="9">
        <v>0</v>
      </c>
      <c r="G282" s="4">
        <v>72417</v>
      </c>
      <c r="H282" s="4">
        <f t="shared" si="30"/>
        <v>55426.12</v>
      </c>
      <c r="I282" s="24">
        <f t="shared" si="31"/>
        <v>0.76539999999999997</v>
      </c>
      <c r="J282" s="23">
        <v>0</v>
      </c>
      <c r="K282" s="23">
        <v>6034.75</v>
      </c>
      <c r="L282" s="23">
        <v>3965.25</v>
      </c>
      <c r="M282" s="23"/>
      <c r="N282" s="23">
        <v>20173.75</v>
      </c>
      <c r="O282" s="23"/>
      <c r="P282" s="23">
        <v>6034.75</v>
      </c>
      <c r="Q282" s="23"/>
      <c r="R282" s="23">
        <v>6034.75</v>
      </c>
      <c r="S282" s="23"/>
      <c r="T282" s="23"/>
      <c r="U282" s="23"/>
      <c r="V282" s="79" t="s">
        <v>704</v>
      </c>
      <c r="W282" s="23">
        <f t="shared" si="32"/>
        <v>16990.879999999997</v>
      </c>
      <c r="X282" s="7"/>
      <c r="Y282" s="79"/>
      <c r="Z282" s="79"/>
      <c r="AA282" s="175">
        <v>13182.87</v>
      </c>
      <c r="AB282" s="82"/>
      <c r="AC282" s="82"/>
      <c r="AD282" s="23"/>
      <c r="AE282" s="7" t="s">
        <v>448</v>
      </c>
    </row>
    <row r="283" spans="1:31" x14ac:dyDescent="0.2">
      <c r="A283" s="141" t="s">
        <v>225</v>
      </c>
      <c r="B283" s="9" t="s">
        <v>495</v>
      </c>
      <c r="C283" s="9">
        <v>0</v>
      </c>
      <c r="D283" s="9">
        <v>0</v>
      </c>
      <c r="E283" s="9"/>
      <c r="F283" s="9">
        <v>0</v>
      </c>
      <c r="G283" s="4">
        <v>33193</v>
      </c>
      <c r="H283" s="4">
        <f t="shared" si="30"/>
        <v>15000</v>
      </c>
      <c r="I283" s="24">
        <f t="shared" si="31"/>
        <v>0.45190000000000002</v>
      </c>
      <c r="J283" s="23">
        <v>0</v>
      </c>
      <c r="K283" s="23"/>
      <c r="L283" s="23"/>
      <c r="M283" s="23"/>
      <c r="N283" s="23"/>
      <c r="O283" s="23"/>
      <c r="P283" s="23"/>
      <c r="Q283" s="23"/>
      <c r="R283" s="23">
        <v>15000</v>
      </c>
      <c r="S283" s="23"/>
      <c r="T283" s="23"/>
      <c r="U283" s="23"/>
      <c r="V283" s="79" t="s">
        <v>705</v>
      </c>
      <c r="W283" s="23">
        <f t="shared" si="32"/>
        <v>18193</v>
      </c>
      <c r="X283" s="7"/>
      <c r="Y283" s="79"/>
      <c r="Z283" s="79"/>
      <c r="AA283" s="82"/>
      <c r="AB283" s="82"/>
      <c r="AC283" s="82"/>
      <c r="AD283" s="23"/>
      <c r="AE283" s="7" t="s">
        <v>449</v>
      </c>
    </row>
    <row r="284" spans="1:31" x14ac:dyDescent="0.2">
      <c r="A284" s="141" t="s">
        <v>226</v>
      </c>
      <c r="B284" s="9" t="s">
        <v>495</v>
      </c>
      <c r="C284" s="9" t="s">
        <v>495</v>
      </c>
      <c r="D284" s="9">
        <v>0</v>
      </c>
      <c r="E284" s="9"/>
      <c r="F284" s="9" t="s">
        <v>495</v>
      </c>
      <c r="G284" s="4">
        <v>67523</v>
      </c>
      <c r="H284" s="4">
        <f t="shared" si="30"/>
        <v>46523.000000000015</v>
      </c>
      <c r="I284" s="24">
        <f t="shared" si="31"/>
        <v>0.68899999999999995</v>
      </c>
      <c r="J284" s="23">
        <v>8440.49</v>
      </c>
      <c r="K284" s="23">
        <v>8440.41</v>
      </c>
      <c r="L284" s="23"/>
      <c r="M284" s="23">
        <v>5626.9</v>
      </c>
      <c r="N284" s="23">
        <v>5626.9</v>
      </c>
      <c r="O284" s="23">
        <v>5626.9</v>
      </c>
      <c r="P284" s="23">
        <v>5626.9</v>
      </c>
      <c r="Q284" s="23">
        <v>5626.9</v>
      </c>
      <c r="R284" s="23">
        <v>5626.9</v>
      </c>
      <c r="S284" s="23">
        <v>5626.9</v>
      </c>
      <c r="T284" s="23">
        <v>0</v>
      </c>
      <c r="U284" s="23">
        <v>-9746.2000000000007</v>
      </c>
      <c r="V284" s="79" t="s">
        <v>706</v>
      </c>
      <c r="W284" s="23">
        <f t="shared" si="32"/>
        <v>20999.999999999985</v>
      </c>
      <c r="X284" s="7"/>
      <c r="Y284" s="79"/>
      <c r="Z284" s="79"/>
      <c r="AA284" s="82"/>
      <c r="AB284" s="82"/>
      <c r="AC284" s="82"/>
      <c r="AD284" s="23"/>
      <c r="AE284" s="7" t="s">
        <v>450</v>
      </c>
    </row>
    <row r="285" spans="1:31" x14ac:dyDescent="0.2">
      <c r="A285" s="141" t="s">
        <v>227</v>
      </c>
      <c r="B285" s="9" t="s">
        <v>495</v>
      </c>
      <c r="C285" s="9" t="s">
        <v>495</v>
      </c>
      <c r="D285" s="9">
        <v>0</v>
      </c>
      <c r="E285" s="9"/>
      <c r="F285" s="9" t="s">
        <v>495</v>
      </c>
      <c r="G285" s="4">
        <v>41478</v>
      </c>
      <c r="H285" s="4">
        <f t="shared" si="30"/>
        <v>41477.999999999993</v>
      </c>
      <c r="I285" s="24">
        <f t="shared" si="31"/>
        <v>1</v>
      </c>
      <c r="J285" s="23">
        <v>3533.16</v>
      </c>
      <c r="K285" s="23">
        <v>3449.54</v>
      </c>
      <c r="L285" s="23">
        <v>3449.53</v>
      </c>
      <c r="M285" s="23">
        <v>3449.53</v>
      </c>
      <c r="N285" s="23">
        <v>3449.53</v>
      </c>
      <c r="O285" s="23">
        <v>3449.53</v>
      </c>
      <c r="P285" s="23">
        <v>3449.53</v>
      </c>
      <c r="Q285" s="23">
        <v>3449.53</v>
      </c>
      <c r="R285" s="23">
        <v>3449.53</v>
      </c>
      <c r="S285" s="23">
        <v>3449.53</v>
      </c>
      <c r="T285" s="23">
        <v>3449.53</v>
      </c>
      <c r="U285" s="23">
        <v>3449.53</v>
      </c>
      <c r="V285" s="79" t="s">
        <v>707</v>
      </c>
      <c r="W285" s="23">
        <f t="shared" si="32"/>
        <v>0</v>
      </c>
      <c r="X285" s="7"/>
      <c r="Y285" s="79"/>
      <c r="Z285" s="79"/>
      <c r="AA285" s="82"/>
      <c r="AB285" s="82"/>
      <c r="AC285" s="82"/>
      <c r="AD285" s="23"/>
      <c r="AE285" s="7" t="s">
        <v>451</v>
      </c>
    </row>
    <row r="286" spans="1:31" x14ac:dyDescent="0.2">
      <c r="A286" s="141" t="s">
        <v>228</v>
      </c>
      <c r="B286" s="9" t="s">
        <v>495</v>
      </c>
      <c r="C286" s="9">
        <v>0</v>
      </c>
      <c r="D286" s="9">
        <v>0</v>
      </c>
      <c r="E286" s="9"/>
      <c r="F286" s="9" t="s">
        <v>495</v>
      </c>
      <c r="G286" s="4">
        <v>13203</v>
      </c>
      <c r="H286" s="4">
        <f t="shared" si="30"/>
        <v>13202.999999999996</v>
      </c>
      <c r="I286" s="24">
        <f t="shared" si="31"/>
        <v>1</v>
      </c>
      <c r="J286" s="23">
        <v>1127.08</v>
      </c>
      <c r="K286" s="23">
        <v>1097.82</v>
      </c>
      <c r="L286" s="23">
        <v>1097.81</v>
      </c>
      <c r="M286" s="23">
        <v>1097.81</v>
      </c>
      <c r="N286" s="23">
        <v>1097.81</v>
      </c>
      <c r="O286" s="23">
        <v>1097.81</v>
      </c>
      <c r="P286" s="23">
        <v>1097.81</v>
      </c>
      <c r="Q286" s="23">
        <v>1097.81</v>
      </c>
      <c r="R286" s="23">
        <v>1097.81</v>
      </c>
      <c r="S286" s="23">
        <v>1097.81</v>
      </c>
      <c r="T286" s="23">
        <v>1097.81</v>
      </c>
      <c r="U286" s="23">
        <v>1097.81</v>
      </c>
      <c r="V286" s="79" t="s">
        <v>708</v>
      </c>
      <c r="W286" s="23">
        <f t="shared" si="32"/>
        <v>0</v>
      </c>
      <c r="X286" s="7"/>
      <c r="Y286" s="79"/>
      <c r="Z286" s="79"/>
      <c r="AA286" s="82"/>
      <c r="AB286" s="82"/>
      <c r="AC286" s="82"/>
      <c r="AD286" s="23"/>
      <c r="AE286" s="7" t="s">
        <v>451</v>
      </c>
    </row>
    <row r="287" spans="1:31" x14ac:dyDescent="0.2">
      <c r="A287" s="141" t="s">
        <v>229</v>
      </c>
      <c r="B287" s="9" t="s">
        <v>495</v>
      </c>
      <c r="C287" s="9" t="s">
        <v>495</v>
      </c>
      <c r="D287" s="9">
        <v>0</v>
      </c>
      <c r="E287" s="9"/>
      <c r="F287" s="9">
        <v>0</v>
      </c>
      <c r="G287" s="4">
        <v>155276</v>
      </c>
      <c r="H287" s="4">
        <f t="shared" si="30"/>
        <v>155276</v>
      </c>
      <c r="I287" s="24">
        <f t="shared" si="31"/>
        <v>1</v>
      </c>
      <c r="J287" s="23">
        <v>12939</v>
      </c>
      <c r="K287" s="23">
        <v>12939</v>
      </c>
      <c r="L287" s="23">
        <v>12939</v>
      </c>
      <c r="M287" s="23">
        <v>12939</v>
      </c>
      <c r="N287" s="23">
        <v>12939</v>
      </c>
      <c r="O287" s="23">
        <v>12939</v>
      </c>
      <c r="P287" s="23">
        <v>12939</v>
      </c>
      <c r="Q287" s="23">
        <v>12939</v>
      </c>
      <c r="R287" s="23">
        <v>12939</v>
      </c>
      <c r="S287" s="23">
        <v>12939</v>
      </c>
      <c r="T287" s="23">
        <v>12939</v>
      </c>
      <c r="U287" s="23">
        <v>12947</v>
      </c>
      <c r="V287" s="79" t="s">
        <v>709</v>
      </c>
      <c r="W287" s="23">
        <f t="shared" si="32"/>
        <v>0</v>
      </c>
      <c r="X287" s="7"/>
      <c r="Y287" s="79"/>
      <c r="Z287" s="79"/>
      <c r="AA287" s="82"/>
      <c r="AB287" s="82"/>
      <c r="AC287" s="82"/>
      <c r="AD287" s="23"/>
      <c r="AE287" s="7" t="s">
        <v>447</v>
      </c>
    </row>
    <row r="288" spans="1:31" x14ac:dyDescent="0.2">
      <c r="A288" s="141" t="s">
        <v>230</v>
      </c>
      <c r="B288" s="9">
        <v>0</v>
      </c>
      <c r="C288" s="9" t="s">
        <v>495</v>
      </c>
      <c r="D288" s="9">
        <v>0</v>
      </c>
      <c r="E288" s="9"/>
      <c r="F288" s="9">
        <v>0</v>
      </c>
      <c r="G288" s="4">
        <v>1372</v>
      </c>
      <c r="H288" s="4">
        <f t="shared" si="30"/>
        <v>700</v>
      </c>
      <c r="I288" s="24">
        <f t="shared" si="31"/>
        <v>0.51019999999999999</v>
      </c>
      <c r="J288" s="23">
        <v>0</v>
      </c>
      <c r="K288" s="23"/>
      <c r="L288" s="23"/>
      <c r="M288" s="23"/>
      <c r="N288" s="23"/>
      <c r="O288" s="23"/>
      <c r="P288" s="23"/>
      <c r="Q288" s="23"/>
      <c r="R288" s="23"/>
      <c r="S288" s="23">
        <v>700</v>
      </c>
      <c r="T288" s="23"/>
      <c r="U288" s="23"/>
      <c r="V288" s="79" t="s">
        <v>710</v>
      </c>
      <c r="W288" s="23">
        <f t="shared" si="32"/>
        <v>672</v>
      </c>
      <c r="X288" s="7"/>
      <c r="Y288" s="79"/>
      <c r="Z288" s="79"/>
      <c r="AA288" s="82"/>
      <c r="AB288" s="82"/>
      <c r="AC288" s="82"/>
      <c r="AD288" s="23"/>
      <c r="AE288" s="7" t="s">
        <v>444</v>
      </c>
    </row>
    <row r="289" spans="1:34" x14ac:dyDescent="0.2">
      <c r="W289" s="3"/>
    </row>
    <row r="290" spans="1:34" x14ac:dyDescent="0.2">
      <c r="A290" t="s">
        <v>6</v>
      </c>
      <c r="G290" s="17">
        <f>SUM(G265:G289)</f>
        <v>891904</v>
      </c>
      <c r="H290" s="11">
        <f t="shared" ref="H290:U290" si="33">SUM(H265:H289)</f>
        <v>769498.55</v>
      </c>
      <c r="I290" s="4"/>
      <c r="J290" s="4">
        <f t="shared" si="33"/>
        <v>46464.399999999994</v>
      </c>
      <c r="K290" s="4">
        <f t="shared" si="33"/>
        <v>54673.82</v>
      </c>
      <c r="L290" s="4">
        <f t="shared" si="33"/>
        <v>68503.59</v>
      </c>
      <c r="M290" s="4">
        <f t="shared" si="33"/>
        <v>49879.969999999994</v>
      </c>
      <c r="N290" s="4">
        <f t="shared" si="33"/>
        <v>87283.389999999985</v>
      </c>
      <c r="O290" s="4">
        <f t="shared" si="33"/>
        <v>63677.539999999994</v>
      </c>
      <c r="P290" s="4">
        <f t="shared" si="33"/>
        <v>66712.289999999994</v>
      </c>
      <c r="Q290" s="4">
        <f t="shared" si="33"/>
        <v>71677.539999999994</v>
      </c>
      <c r="R290" s="4">
        <f t="shared" si="33"/>
        <v>77724.62</v>
      </c>
      <c r="S290" s="4">
        <f t="shared" si="33"/>
        <v>59187.539999999994</v>
      </c>
      <c r="T290" s="4">
        <f t="shared" si="33"/>
        <v>65553.639999999985</v>
      </c>
      <c r="U290" s="4">
        <f t="shared" si="33"/>
        <v>41853.339999999997</v>
      </c>
      <c r="V290" s="77"/>
      <c r="W290" s="3">
        <f>G290-H290</f>
        <v>122405.44999999995</v>
      </c>
      <c r="X290" s="4"/>
      <c r="Y290" s="4"/>
      <c r="Z290" s="4"/>
      <c r="AA290" s="83">
        <f t="shared" ref="AA290:AC290" si="34">SUM(AA265:AA289)</f>
        <v>14382.87</v>
      </c>
      <c r="AB290" s="83">
        <f t="shared" si="34"/>
        <v>1924</v>
      </c>
      <c r="AC290" s="83">
        <f t="shared" si="34"/>
        <v>0</v>
      </c>
      <c r="AH290" s="4">
        <f>ROUND(SUM(J290:U290),0)</f>
        <v>753192</v>
      </c>
    </row>
    <row r="291" spans="1:34" x14ac:dyDescent="0.2">
      <c r="W291" s="3"/>
    </row>
    <row r="292" spans="1:34" x14ac:dyDescent="0.2">
      <c r="W292" s="3"/>
    </row>
    <row r="293" spans="1:34" ht="15.75" x14ac:dyDescent="0.25">
      <c r="G293" s="150" t="s">
        <v>13</v>
      </c>
      <c r="W293" s="3"/>
    </row>
    <row r="294" spans="1:34" x14ac:dyDescent="0.2">
      <c r="W294" s="3"/>
    </row>
    <row r="295" spans="1:34" ht="16.5" x14ac:dyDescent="0.25">
      <c r="B295" s="8"/>
      <c r="C295" s="8"/>
      <c r="E295" s="8"/>
      <c r="F295" s="8"/>
      <c r="G295" s="20" t="str">
        <f>$G$3</f>
        <v>2020 PARISH SHARE INFORMATION</v>
      </c>
      <c r="H295" s="14"/>
      <c r="W295" s="3"/>
    </row>
    <row r="296" spans="1:34" x14ac:dyDescent="0.2">
      <c r="G296" s="19"/>
      <c r="H296" s="13"/>
      <c r="W296" s="3"/>
    </row>
    <row r="297" spans="1:34" ht="16.5" x14ac:dyDescent="0.25">
      <c r="A297" s="1" t="s">
        <v>1</v>
      </c>
      <c r="B297" s="151" t="str">
        <f>$B$5</f>
        <v>RM</v>
      </c>
      <c r="C297" s="151" t="str">
        <f>$C$5</f>
        <v>RF</v>
      </c>
      <c r="D297" s="151" t="str">
        <f>$D$5</f>
        <v>Accts</v>
      </c>
      <c r="E297" s="151"/>
      <c r="F297" s="151" t="str">
        <f>$F$5</f>
        <v>Share DD</v>
      </c>
      <c r="G297" s="153" t="str">
        <f>$G$5</f>
        <v xml:space="preserve">2020 Share </v>
      </c>
      <c r="H297" s="154" t="str">
        <f>$H$5</f>
        <v xml:space="preserve">2020 Paid </v>
      </c>
      <c r="I297" s="154" t="str">
        <f>$I$5</f>
        <v xml:space="preserve">% Paid </v>
      </c>
      <c r="J297" s="155">
        <f>$J$5</f>
        <v>43861</v>
      </c>
      <c r="K297" s="155">
        <f>$K$5</f>
        <v>43890</v>
      </c>
      <c r="L297" s="155">
        <f>$L$5</f>
        <v>43921</v>
      </c>
      <c r="M297" s="155">
        <f>$M$5</f>
        <v>43951</v>
      </c>
      <c r="N297" s="155">
        <f>$N$5</f>
        <v>43982</v>
      </c>
      <c r="O297" s="155">
        <f>$O$5</f>
        <v>44012</v>
      </c>
      <c r="P297" s="155">
        <f>$P$5</f>
        <v>44043</v>
      </c>
      <c r="Q297" s="155">
        <f>$Q$5</f>
        <v>44074</v>
      </c>
      <c r="R297" s="155">
        <f>$R$5</f>
        <v>44104</v>
      </c>
      <c r="S297" s="155">
        <f>$S$5</f>
        <v>44135</v>
      </c>
      <c r="T297" s="155">
        <f>$T$5</f>
        <v>44165</v>
      </c>
      <c r="U297" s="155">
        <f>$U$5</f>
        <v>44196</v>
      </c>
      <c r="V297" s="78"/>
      <c r="W297" s="157" t="str">
        <f>$W$5</f>
        <v xml:space="preserve">Outstanding </v>
      </c>
      <c r="X297" s="2"/>
      <c r="Y297" s="2"/>
      <c r="Z297" s="2"/>
      <c r="AA297" s="173">
        <v>44197</v>
      </c>
      <c r="AB297" s="173">
        <v>44228</v>
      </c>
      <c r="AC297" s="173">
        <v>44256</v>
      </c>
      <c r="AE297" s="152" t="str">
        <f>$AE$5</f>
        <v>Benefice</v>
      </c>
    </row>
    <row r="298" spans="1:34" ht="16.5" x14ac:dyDescent="0.25">
      <c r="G298" s="146" t="s">
        <v>1040</v>
      </c>
      <c r="H298" s="147" t="s">
        <v>1040</v>
      </c>
      <c r="I298" s="148"/>
      <c r="J298" s="147" t="s">
        <v>1040</v>
      </c>
      <c r="K298" s="147" t="s">
        <v>1040</v>
      </c>
      <c r="L298" s="147" t="s">
        <v>1040</v>
      </c>
      <c r="M298" s="147" t="s">
        <v>1040</v>
      </c>
      <c r="N298" s="147" t="s">
        <v>1040</v>
      </c>
      <c r="O298" s="147" t="s">
        <v>1040</v>
      </c>
      <c r="P298" s="147" t="s">
        <v>1040</v>
      </c>
      <c r="Q298" s="147" t="s">
        <v>1040</v>
      </c>
      <c r="R298" s="147" t="s">
        <v>1040</v>
      </c>
      <c r="S298" s="147" t="s">
        <v>1040</v>
      </c>
      <c r="T298" s="147" t="s">
        <v>1040</v>
      </c>
      <c r="U298" s="147" t="s">
        <v>1040</v>
      </c>
      <c r="W298" s="3"/>
      <c r="AA298" s="174" t="s">
        <v>1040</v>
      </c>
      <c r="AB298" s="174" t="s">
        <v>1040</v>
      </c>
      <c r="AC298" s="174" t="s">
        <v>1040</v>
      </c>
    </row>
    <row r="299" spans="1:34" x14ac:dyDescent="0.2">
      <c r="W299" s="3"/>
    </row>
    <row r="300" spans="1:34" x14ac:dyDescent="0.2">
      <c r="A300" s="141" t="s">
        <v>231</v>
      </c>
      <c r="B300" s="9" t="s">
        <v>495</v>
      </c>
      <c r="C300" s="9" t="s">
        <v>495</v>
      </c>
      <c r="D300" s="9">
        <v>0</v>
      </c>
      <c r="E300" s="9"/>
      <c r="F300" s="9">
        <v>0</v>
      </c>
      <c r="G300" s="4">
        <v>12013</v>
      </c>
      <c r="H300" s="4">
        <f t="shared" ref="H300:H314" si="35">SUM(J300:U300)+SUM(AA300:AC300)</f>
        <v>5500</v>
      </c>
      <c r="I300" s="24">
        <f t="shared" ref="I300:I314" si="36">ROUND((H300/G300),4)</f>
        <v>0.45779999999999998</v>
      </c>
      <c r="J300" s="23">
        <v>0</v>
      </c>
      <c r="K300" s="23"/>
      <c r="L300" s="23"/>
      <c r="M300" s="23">
        <v>1000</v>
      </c>
      <c r="N300" s="23"/>
      <c r="O300" s="23"/>
      <c r="P300" s="23"/>
      <c r="Q300" s="23">
        <v>1000</v>
      </c>
      <c r="R300" s="23"/>
      <c r="S300" s="23"/>
      <c r="T300" s="23">
        <v>2000</v>
      </c>
      <c r="U300" s="23">
        <v>1500</v>
      </c>
      <c r="V300" s="7" t="s">
        <v>711</v>
      </c>
      <c r="W300" s="23">
        <f t="shared" ref="W300:W314" si="37">G300-H300</f>
        <v>6513</v>
      </c>
      <c r="X300" s="7"/>
      <c r="Y300" s="4"/>
      <c r="Z300" s="4"/>
      <c r="AA300" s="82"/>
      <c r="AB300" s="82"/>
      <c r="AC300" s="82"/>
      <c r="AE300" s="7" t="s">
        <v>455</v>
      </c>
    </row>
    <row r="301" spans="1:34" x14ac:dyDescent="0.2">
      <c r="A301" s="141" t="s">
        <v>232</v>
      </c>
      <c r="B301" s="9" t="s">
        <v>495</v>
      </c>
      <c r="C301" s="9">
        <v>0</v>
      </c>
      <c r="D301" s="9">
        <v>0</v>
      </c>
      <c r="E301" s="9"/>
      <c r="F301" s="9" t="s">
        <v>495</v>
      </c>
      <c r="G301" s="4">
        <v>67160</v>
      </c>
      <c r="H301" s="4">
        <f t="shared" si="35"/>
        <v>56000</v>
      </c>
      <c r="I301" s="24">
        <f t="shared" si="36"/>
        <v>0.83379999999999999</v>
      </c>
      <c r="J301" s="23">
        <v>3000</v>
      </c>
      <c r="K301" s="23">
        <v>3000</v>
      </c>
      <c r="L301" s="23">
        <v>3000</v>
      </c>
      <c r="M301" s="23">
        <v>3000</v>
      </c>
      <c r="N301" s="23">
        <v>3000</v>
      </c>
      <c r="O301" s="23">
        <v>3000</v>
      </c>
      <c r="P301" s="23">
        <v>3000</v>
      </c>
      <c r="Q301" s="23">
        <v>3000</v>
      </c>
      <c r="R301" s="23">
        <v>3000</v>
      </c>
      <c r="S301" s="23">
        <v>3000</v>
      </c>
      <c r="T301" s="23">
        <v>3000</v>
      </c>
      <c r="U301" s="23">
        <v>3000</v>
      </c>
      <c r="V301" s="7" t="s">
        <v>712</v>
      </c>
      <c r="W301" s="23">
        <f t="shared" si="37"/>
        <v>11160</v>
      </c>
      <c r="X301" s="7"/>
      <c r="Y301" s="7"/>
      <c r="Z301" s="7"/>
      <c r="AA301" s="175">
        <v>20000</v>
      </c>
      <c r="AB301" s="82"/>
      <c r="AC301" s="82"/>
      <c r="AE301" s="7" t="s">
        <v>452</v>
      </c>
    </row>
    <row r="302" spans="1:34" x14ac:dyDescent="0.2">
      <c r="A302" s="141" t="s">
        <v>233</v>
      </c>
      <c r="B302" s="9" t="s">
        <v>495</v>
      </c>
      <c r="C302" s="9" t="s">
        <v>495</v>
      </c>
      <c r="D302" s="9">
        <v>0</v>
      </c>
      <c r="E302" s="9"/>
      <c r="F302" s="9" t="s">
        <v>495</v>
      </c>
      <c r="G302" s="4">
        <v>13750</v>
      </c>
      <c r="H302" s="4">
        <f t="shared" si="35"/>
        <v>13750.000000000002</v>
      </c>
      <c r="I302" s="24">
        <f t="shared" si="36"/>
        <v>1</v>
      </c>
      <c r="J302" s="23">
        <v>1174.77</v>
      </c>
      <c r="K302" s="23">
        <v>1143.23</v>
      </c>
      <c r="L302" s="23">
        <v>1143.2</v>
      </c>
      <c r="M302" s="23">
        <v>1143.2</v>
      </c>
      <c r="N302" s="23">
        <v>1143.2</v>
      </c>
      <c r="O302" s="23">
        <v>1143.2</v>
      </c>
      <c r="P302" s="23">
        <v>1143.2</v>
      </c>
      <c r="Q302" s="23">
        <v>1143.2</v>
      </c>
      <c r="R302" s="23">
        <v>1143.2</v>
      </c>
      <c r="S302" s="23">
        <v>1143.2</v>
      </c>
      <c r="T302" s="23">
        <v>1143.2</v>
      </c>
      <c r="U302" s="23">
        <v>1143.2</v>
      </c>
      <c r="V302" s="7" t="s">
        <v>713</v>
      </c>
      <c r="W302" s="23">
        <f t="shared" si="37"/>
        <v>0</v>
      </c>
      <c r="X302" s="7"/>
      <c r="Y302" s="7"/>
      <c r="Z302" s="7"/>
      <c r="AA302" s="82"/>
      <c r="AB302" s="82"/>
      <c r="AC302" s="82"/>
      <c r="AE302" s="7" t="s">
        <v>453</v>
      </c>
    </row>
    <row r="303" spans="1:34" x14ac:dyDescent="0.2">
      <c r="A303" s="141" t="s">
        <v>234</v>
      </c>
      <c r="B303" s="9" t="s">
        <v>495</v>
      </c>
      <c r="C303" s="9" t="s">
        <v>495</v>
      </c>
      <c r="D303" s="9" t="s">
        <v>495</v>
      </c>
      <c r="E303" s="9"/>
      <c r="F303" s="9" t="s">
        <v>495</v>
      </c>
      <c r="G303" s="4">
        <v>9400</v>
      </c>
      <c r="H303" s="4">
        <f t="shared" si="35"/>
        <v>9399.9999999999982</v>
      </c>
      <c r="I303" s="24">
        <f t="shared" si="36"/>
        <v>1</v>
      </c>
      <c r="J303" s="23">
        <v>804.54</v>
      </c>
      <c r="K303" s="23">
        <v>781.46</v>
      </c>
      <c r="L303" s="23">
        <v>781.4</v>
      </c>
      <c r="M303" s="23">
        <v>781.4</v>
      </c>
      <c r="N303" s="23">
        <v>781.4</v>
      </c>
      <c r="O303" s="23">
        <v>781.4</v>
      </c>
      <c r="P303" s="23">
        <v>781.4</v>
      </c>
      <c r="Q303" s="23">
        <v>781.4</v>
      </c>
      <c r="R303" s="23">
        <v>781.4</v>
      </c>
      <c r="S303" s="23">
        <v>781.4</v>
      </c>
      <c r="T303" s="23">
        <v>781.4</v>
      </c>
      <c r="U303" s="23">
        <v>781.4</v>
      </c>
      <c r="V303" s="7" t="s">
        <v>714</v>
      </c>
      <c r="W303" s="23">
        <f t="shared" si="37"/>
        <v>0</v>
      </c>
      <c r="X303" s="7"/>
      <c r="Y303" s="7"/>
      <c r="Z303" s="7"/>
      <c r="AA303" s="82"/>
      <c r="AB303" s="82"/>
      <c r="AC303" s="82"/>
      <c r="AE303" s="7" t="s">
        <v>453</v>
      </c>
    </row>
    <row r="304" spans="1:34" x14ac:dyDescent="0.2">
      <c r="A304" s="141" t="s">
        <v>235</v>
      </c>
      <c r="B304" s="9" t="s">
        <v>495</v>
      </c>
      <c r="C304" s="9">
        <v>0</v>
      </c>
      <c r="D304" s="9" t="s">
        <v>495</v>
      </c>
      <c r="E304" s="9"/>
      <c r="F304" s="9" t="s">
        <v>495</v>
      </c>
      <c r="G304" s="4">
        <v>63734</v>
      </c>
      <c r="H304" s="4">
        <f t="shared" si="35"/>
        <v>24000</v>
      </c>
      <c r="I304" s="24">
        <f t="shared" si="36"/>
        <v>0.37659999999999999</v>
      </c>
      <c r="J304" s="23">
        <v>2000</v>
      </c>
      <c r="K304" s="23">
        <v>2000</v>
      </c>
      <c r="L304" s="23">
        <v>2000</v>
      </c>
      <c r="M304" s="23">
        <v>2000</v>
      </c>
      <c r="N304" s="23">
        <v>2000</v>
      </c>
      <c r="O304" s="23">
        <v>2000</v>
      </c>
      <c r="P304" s="23">
        <v>2000</v>
      </c>
      <c r="Q304" s="23">
        <v>2000</v>
      </c>
      <c r="R304" s="23">
        <v>2000</v>
      </c>
      <c r="S304" s="23">
        <v>2000</v>
      </c>
      <c r="T304" s="23">
        <v>2000</v>
      </c>
      <c r="U304" s="23">
        <v>2000</v>
      </c>
      <c r="V304" s="7" t="s">
        <v>715</v>
      </c>
      <c r="W304" s="23">
        <f t="shared" si="37"/>
        <v>39734</v>
      </c>
      <c r="X304" s="7"/>
      <c r="Y304" s="7"/>
      <c r="Z304" s="7"/>
      <c r="AA304" s="82"/>
      <c r="AB304" s="82"/>
      <c r="AC304" s="82"/>
      <c r="AE304" s="7" t="s">
        <v>454</v>
      </c>
    </row>
    <row r="305" spans="1:34" x14ac:dyDescent="0.2">
      <c r="A305" s="141" t="s">
        <v>236</v>
      </c>
      <c r="B305" s="9" t="s">
        <v>495</v>
      </c>
      <c r="C305" s="9" t="s">
        <v>495</v>
      </c>
      <c r="D305" s="9" t="s">
        <v>495</v>
      </c>
      <c r="E305" s="9"/>
      <c r="F305" s="9" t="s">
        <v>495</v>
      </c>
      <c r="G305" s="4">
        <v>18503</v>
      </c>
      <c r="H305" s="4">
        <f t="shared" si="35"/>
        <v>18503</v>
      </c>
      <c r="I305" s="24">
        <f t="shared" si="36"/>
        <v>1</v>
      </c>
      <c r="J305" s="23">
        <v>1546.75</v>
      </c>
      <c r="K305" s="23">
        <v>1541.55</v>
      </c>
      <c r="L305" s="23">
        <v>1541.47</v>
      </c>
      <c r="M305" s="23">
        <v>1541.47</v>
      </c>
      <c r="N305" s="23">
        <v>1541.47</v>
      </c>
      <c r="O305" s="23">
        <v>1541.47</v>
      </c>
      <c r="P305" s="23">
        <v>1541.47</v>
      </c>
      <c r="Q305" s="23">
        <v>1541.47</v>
      </c>
      <c r="R305" s="23">
        <v>1541.47</v>
      </c>
      <c r="S305" s="23">
        <v>1541.47</v>
      </c>
      <c r="T305" s="23">
        <v>1541.47</v>
      </c>
      <c r="U305" s="23">
        <v>1541.47</v>
      </c>
      <c r="V305" s="7" t="s">
        <v>716</v>
      </c>
      <c r="W305" s="23">
        <f t="shared" si="37"/>
        <v>0</v>
      </c>
      <c r="X305" s="7"/>
      <c r="Y305" s="7"/>
      <c r="Z305" s="7"/>
      <c r="AA305" s="82"/>
      <c r="AB305" s="82"/>
      <c r="AC305" s="82"/>
      <c r="AE305" s="7" t="s">
        <v>454</v>
      </c>
    </row>
    <row r="306" spans="1:34" x14ac:dyDescent="0.2">
      <c r="A306" s="141" t="s">
        <v>237</v>
      </c>
      <c r="B306" s="9" t="s">
        <v>495</v>
      </c>
      <c r="C306" s="9" t="s">
        <v>495</v>
      </c>
      <c r="D306" s="9" t="s">
        <v>495</v>
      </c>
      <c r="E306" s="9"/>
      <c r="F306" s="9">
        <v>0</v>
      </c>
      <c r="G306" s="4">
        <v>46700</v>
      </c>
      <c r="H306" s="4">
        <f t="shared" si="35"/>
        <v>22990</v>
      </c>
      <c r="I306" s="24">
        <f t="shared" si="36"/>
        <v>0.49230000000000002</v>
      </c>
      <c r="J306" s="23">
        <v>50</v>
      </c>
      <c r="K306" s="23">
        <v>50</v>
      </c>
      <c r="L306" s="23">
        <v>2050</v>
      </c>
      <c r="M306" s="23">
        <v>2050</v>
      </c>
      <c r="N306" s="23"/>
      <c r="O306" s="23">
        <v>2100</v>
      </c>
      <c r="P306" s="23">
        <v>2050</v>
      </c>
      <c r="Q306" s="23">
        <v>2050</v>
      </c>
      <c r="R306" s="23">
        <v>4050</v>
      </c>
      <c r="S306" s="23">
        <v>2050</v>
      </c>
      <c r="T306" s="23">
        <v>2050</v>
      </c>
      <c r="U306" s="23">
        <v>4440</v>
      </c>
      <c r="V306" s="7" t="s">
        <v>717</v>
      </c>
      <c r="W306" s="23">
        <f t="shared" si="37"/>
        <v>23710</v>
      </c>
      <c r="X306" s="7"/>
      <c r="Y306" s="7"/>
      <c r="Z306" s="7"/>
      <c r="AA306" s="82"/>
      <c r="AB306" s="82"/>
      <c r="AC306" s="82"/>
      <c r="AE306" s="7" t="s">
        <v>453</v>
      </c>
    </row>
    <row r="307" spans="1:34" x14ac:dyDescent="0.2">
      <c r="A307" s="141" t="s">
        <v>238</v>
      </c>
      <c r="B307" s="9" t="s">
        <v>495</v>
      </c>
      <c r="C307" s="9" t="s">
        <v>495</v>
      </c>
      <c r="D307" s="9" t="s">
        <v>495</v>
      </c>
      <c r="E307" s="9"/>
      <c r="F307" s="9">
        <v>0</v>
      </c>
      <c r="G307" s="4">
        <v>23235</v>
      </c>
      <c r="H307" s="4">
        <f t="shared" si="35"/>
        <v>8600</v>
      </c>
      <c r="I307" s="24">
        <f t="shared" si="36"/>
        <v>0.37009999999999998</v>
      </c>
      <c r="J307" s="23">
        <v>300</v>
      </c>
      <c r="K307" s="23">
        <v>700</v>
      </c>
      <c r="L307" s="23">
        <v>500</v>
      </c>
      <c r="M307" s="23">
        <v>500</v>
      </c>
      <c r="N307" s="23">
        <v>500</v>
      </c>
      <c r="O307" s="23"/>
      <c r="P307" s="23">
        <v>1000</v>
      </c>
      <c r="Q307" s="23">
        <v>500</v>
      </c>
      <c r="R307" s="23">
        <v>500</v>
      </c>
      <c r="S307" s="23">
        <v>500</v>
      </c>
      <c r="T307" s="23">
        <v>2100</v>
      </c>
      <c r="U307" s="23">
        <v>1500</v>
      </c>
      <c r="V307" s="7" t="s">
        <v>718</v>
      </c>
      <c r="W307" s="23">
        <f t="shared" si="37"/>
        <v>14635</v>
      </c>
      <c r="X307" s="7"/>
      <c r="Y307" s="7"/>
      <c r="Z307" s="7"/>
      <c r="AA307" s="82"/>
      <c r="AB307" s="82"/>
      <c r="AC307" s="82"/>
      <c r="AE307" s="7" t="s">
        <v>455</v>
      </c>
    </row>
    <row r="308" spans="1:34" x14ac:dyDescent="0.2">
      <c r="A308" s="141" t="s">
        <v>239</v>
      </c>
      <c r="B308" s="9" t="s">
        <v>495</v>
      </c>
      <c r="C308" s="9" t="s">
        <v>495</v>
      </c>
      <c r="D308" s="9" t="s">
        <v>495</v>
      </c>
      <c r="E308" s="9"/>
      <c r="F308" s="9" t="s">
        <v>495</v>
      </c>
      <c r="G308" s="4">
        <v>82673</v>
      </c>
      <c r="H308" s="4">
        <f t="shared" si="35"/>
        <v>82673.000000000015</v>
      </c>
      <c r="I308" s="24">
        <f t="shared" si="36"/>
        <v>1</v>
      </c>
      <c r="J308" s="23">
        <v>6889.49</v>
      </c>
      <c r="K308" s="23">
        <v>6889.41</v>
      </c>
      <c r="L308" s="23">
        <v>6889.41</v>
      </c>
      <c r="M308" s="23">
        <v>6889.41</v>
      </c>
      <c r="N308" s="23">
        <v>6889.41</v>
      </c>
      <c r="O308" s="23">
        <v>6889.41</v>
      </c>
      <c r="P308" s="23">
        <v>6889.41</v>
      </c>
      <c r="Q308" s="23">
        <v>6889.41</v>
      </c>
      <c r="R308" s="23">
        <v>6889.41</v>
      </c>
      <c r="S308" s="23">
        <v>6889.41</v>
      </c>
      <c r="T308" s="23">
        <v>6889.41</v>
      </c>
      <c r="U308" s="23">
        <v>6889.41</v>
      </c>
      <c r="V308" s="7" t="s">
        <v>719</v>
      </c>
      <c r="W308" s="23">
        <f t="shared" si="37"/>
        <v>0</v>
      </c>
      <c r="X308" s="7"/>
      <c r="Y308" s="7"/>
      <c r="Z308" s="7"/>
      <c r="AA308" s="82"/>
      <c r="AB308" s="82"/>
      <c r="AC308" s="82"/>
      <c r="AE308" s="7" t="s">
        <v>456</v>
      </c>
    </row>
    <row r="309" spans="1:34" x14ac:dyDescent="0.2">
      <c r="A309" s="141" t="s">
        <v>240</v>
      </c>
      <c r="B309" s="9" t="s">
        <v>495</v>
      </c>
      <c r="C309" s="9">
        <v>0</v>
      </c>
      <c r="D309" s="9">
        <v>0</v>
      </c>
      <c r="E309" s="9"/>
      <c r="F309" s="9" t="s">
        <v>495</v>
      </c>
      <c r="G309" s="4">
        <v>70068</v>
      </c>
      <c r="H309" s="4">
        <f t="shared" si="35"/>
        <v>70068</v>
      </c>
      <c r="I309" s="24">
        <f t="shared" si="36"/>
        <v>1</v>
      </c>
      <c r="J309" s="23">
        <v>5839</v>
      </c>
      <c r="K309" s="23">
        <v>5839</v>
      </c>
      <c r="L309" s="23">
        <v>5839</v>
      </c>
      <c r="M309" s="23">
        <v>5839</v>
      </c>
      <c r="N309" s="23">
        <v>5839</v>
      </c>
      <c r="O309" s="23">
        <v>5839</v>
      </c>
      <c r="P309" s="23">
        <v>5839</v>
      </c>
      <c r="Q309" s="23">
        <v>5839</v>
      </c>
      <c r="R309" s="23">
        <v>5839</v>
      </c>
      <c r="S309" s="23">
        <v>5839</v>
      </c>
      <c r="T309" s="23">
        <v>5839</v>
      </c>
      <c r="U309" s="23">
        <v>5839</v>
      </c>
      <c r="V309" s="7" t="s">
        <v>720</v>
      </c>
      <c r="W309" s="23">
        <f t="shared" si="37"/>
        <v>0</v>
      </c>
      <c r="X309" s="7"/>
      <c r="Y309" s="7"/>
      <c r="Z309" s="7"/>
      <c r="AA309" s="82"/>
      <c r="AB309" s="82"/>
      <c r="AC309" s="82"/>
      <c r="AE309" s="7" t="s">
        <v>458</v>
      </c>
    </row>
    <row r="310" spans="1:34" x14ac:dyDescent="0.2">
      <c r="A310" s="141" t="s">
        <v>241</v>
      </c>
      <c r="B310" s="9" t="s">
        <v>495</v>
      </c>
      <c r="C310" s="9" t="s">
        <v>495</v>
      </c>
      <c r="D310" s="9">
        <v>0</v>
      </c>
      <c r="E310" s="9"/>
      <c r="F310" s="9">
        <v>0</v>
      </c>
      <c r="G310" s="4">
        <v>6442</v>
      </c>
      <c r="H310" s="4">
        <f t="shared" si="35"/>
        <v>6442</v>
      </c>
      <c r="I310" s="24">
        <f t="shared" si="36"/>
        <v>1</v>
      </c>
      <c r="J310" s="23">
        <v>0</v>
      </c>
      <c r="K310" s="23"/>
      <c r="L310" s="23"/>
      <c r="M310" s="23"/>
      <c r="N310" s="23"/>
      <c r="O310" s="23"/>
      <c r="P310" s="23"/>
      <c r="Q310" s="23">
        <v>1288.4000000000001</v>
      </c>
      <c r="R310" s="23">
        <v>1288.4000000000001</v>
      </c>
      <c r="S310" s="23">
        <v>1288.4000000000001</v>
      </c>
      <c r="T310" s="23">
        <v>1288.4000000000001</v>
      </c>
      <c r="U310" s="23">
        <v>1288.4000000000001</v>
      </c>
      <c r="V310" s="7" t="s">
        <v>721</v>
      </c>
      <c r="W310" s="23">
        <f t="shared" si="37"/>
        <v>0</v>
      </c>
      <c r="X310" s="7"/>
      <c r="Y310" s="7"/>
      <c r="Z310" s="7"/>
      <c r="AA310" s="82"/>
      <c r="AB310" s="82"/>
      <c r="AC310" s="82"/>
      <c r="AE310" s="7" t="s">
        <v>456</v>
      </c>
    </row>
    <row r="311" spans="1:34" x14ac:dyDescent="0.2">
      <c r="A311" s="141" t="s">
        <v>242</v>
      </c>
      <c r="B311" s="9" t="s">
        <v>495</v>
      </c>
      <c r="C311" s="9" t="s">
        <v>495</v>
      </c>
      <c r="D311" s="9">
        <v>0</v>
      </c>
      <c r="E311" s="9"/>
      <c r="F311" s="9" t="s">
        <v>495</v>
      </c>
      <c r="G311" s="4">
        <v>17823</v>
      </c>
      <c r="H311" s="4">
        <f t="shared" si="35"/>
        <v>11000</v>
      </c>
      <c r="I311" s="24">
        <f t="shared" si="36"/>
        <v>0.61719999999999997</v>
      </c>
      <c r="J311" s="23">
        <v>300</v>
      </c>
      <c r="K311" s="23">
        <v>300</v>
      </c>
      <c r="L311" s="23">
        <v>300</v>
      </c>
      <c r="M311" s="23">
        <v>1300</v>
      </c>
      <c r="N311" s="23">
        <v>300</v>
      </c>
      <c r="O311" s="23">
        <v>300</v>
      </c>
      <c r="P311" s="23">
        <v>300</v>
      </c>
      <c r="Q311" s="23">
        <v>300</v>
      </c>
      <c r="R311" s="23">
        <v>300</v>
      </c>
      <c r="S311" s="23">
        <v>300</v>
      </c>
      <c r="T311" s="23">
        <v>300</v>
      </c>
      <c r="U311" s="23">
        <v>6700</v>
      </c>
      <c r="V311" s="7" t="s">
        <v>722</v>
      </c>
      <c r="W311" s="23">
        <f t="shared" si="37"/>
        <v>6823</v>
      </c>
      <c r="X311" s="7"/>
      <c r="Y311" s="7"/>
      <c r="Z311" s="7"/>
      <c r="AA311" s="82"/>
      <c r="AB311" s="82"/>
      <c r="AC311" s="82"/>
      <c r="AE311" s="7" t="s">
        <v>455</v>
      </c>
    </row>
    <row r="312" spans="1:34" x14ac:dyDescent="0.2">
      <c r="A312" s="141" t="s">
        <v>243</v>
      </c>
      <c r="B312" s="9" t="s">
        <v>495</v>
      </c>
      <c r="C312" s="9" t="s">
        <v>495</v>
      </c>
      <c r="D312" s="9">
        <v>0</v>
      </c>
      <c r="E312" s="9"/>
      <c r="F312" s="9">
        <v>0</v>
      </c>
      <c r="G312" s="4">
        <v>14695</v>
      </c>
      <c r="H312" s="4">
        <f t="shared" si="35"/>
        <v>14695</v>
      </c>
      <c r="I312" s="24">
        <f t="shared" si="36"/>
        <v>1</v>
      </c>
      <c r="J312" s="23">
        <v>0</v>
      </c>
      <c r="K312" s="23"/>
      <c r="L312" s="23"/>
      <c r="M312" s="23"/>
      <c r="N312" s="23"/>
      <c r="O312" s="23"/>
      <c r="P312" s="23"/>
      <c r="Q312" s="23"/>
      <c r="R312" s="23"/>
      <c r="S312" s="23">
        <v>14695</v>
      </c>
      <c r="T312" s="23"/>
      <c r="U312" s="23"/>
      <c r="V312" s="7" t="s">
        <v>723</v>
      </c>
      <c r="W312" s="23">
        <f t="shared" si="37"/>
        <v>0</v>
      </c>
      <c r="X312" s="7"/>
      <c r="Y312" s="7"/>
      <c r="Z312" s="7"/>
      <c r="AA312" s="82"/>
      <c r="AB312" s="82"/>
      <c r="AC312" s="82"/>
      <c r="AE312" s="7" t="s">
        <v>455</v>
      </c>
    </row>
    <row r="313" spans="1:34" x14ac:dyDescent="0.2">
      <c r="A313" s="141" t="s">
        <v>244</v>
      </c>
      <c r="B313" s="9" t="s">
        <v>495</v>
      </c>
      <c r="C313" s="9" t="s">
        <v>495</v>
      </c>
      <c r="D313" s="9" t="s">
        <v>495</v>
      </c>
      <c r="E313" s="9"/>
      <c r="F313" s="9">
        <v>0</v>
      </c>
      <c r="G313" s="4">
        <v>13200</v>
      </c>
      <c r="H313" s="4">
        <f t="shared" si="35"/>
        <v>13200</v>
      </c>
      <c r="I313" s="24">
        <f t="shared" si="36"/>
        <v>1</v>
      </c>
      <c r="J313" s="23">
        <v>0</v>
      </c>
      <c r="K313" s="23"/>
      <c r="L313" s="23"/>
      <c r="M313" s="23">
        <v>6000</v>
      </c>
      <c r="N313" s="23"/>
      <c r="O313" s="23"/>
      <c r="P313" s="23"/>
      <c r="Q313" s="23"/>
      <c r="R313" s="23"/>
      <c r="S313" s="23"/>
      <c r="T313" s="23"/>
      <c r="U313" s="23">
        <v>7200</v>
      </c>
      <c r="V313" s="7" t="s">
        <v>724</v>
      </c>
      <c r="W313" s="23">
        <f t="shared" si="37"/>
        <v>0</v>
      </c>
      <c r="X313" s="7"/>
      <c r="Y313" s="7"/>
      <c r="Z313" s="7"/>
      <c r="AA313" s="82"/>
      <c r="AB313" s="82"/>
      <c r="AC313" s="82"/>
      <c r="AE313" s="7" t="s">
        <v>453</v>
      </c>
    </row>
    <row r="314" spans="1:34" x14ac:dyDescent="0.2">
      <c r="A314" s="141" t="s">
        <v>245</v>
      </c>
      <c r="B314" s="9" t="s">
        <v>495</v>
      </c>
      <c r="C314" s="9" t="s">
        <v>495</v>
      </c>
      <c r="D314" s="9" t="s">
        <v>495</v>
      </c>
      <c r="E314" s="9"/>
      <c r="F314" s="9">
        <v>0</v>
      </c>
      <c r="G314" s="4">
        <v>59145</v>
      </c>
      <c r="H314" s="4">
        <f t="shared" si="35"/>
        <v>59145</v>
      </c>
      <c r="I314" s="24">
        <f t="shared" si="36"/>
        <v>1</v>
      </c>
      <c r="J314" s="23">
        <v>2000</v>
      </c>
      <c r="K314" s="23">
        <v>2000</v>
      </c>
      <c r="L314" s="23">
        <v>2000</v>
      </c>
      <c r="M314" s="23">
        <v>2000</v>
      </c>
      <c r="N314" s="23">
        <v>2000</v>
      </c>
      <c r="O314" s="23">
        <v>2000</v>
      </c>
      <c r="P314" s="23">
        <v>2000</v>
      </c>
      <c r="Q314" s="23">
        <v>2000</v>
      </c>
      <c r="R314" s="23">
        <v>2000</v>
      </c>
      <c r="S314" s="23">
        <v>6000</v>
      </c>
      <c r="T314" s="23">
        <v>8000</v>
      </c>
      <c r="U314" s="23">
        <v>27145</v>
      </c>
      <c r="V314" s="7" t="s">
        <v>725</v>
      </c>
      <c r="W314" s="23">
        <f t="shared" si="37"/>
        <v>0</v>
      </c>
      <c r="X314" s="7"/>
      <c r="Y314" s="7"/>
      <c r="Z314" s="7"/>
      <c r="AA314" s="82"/>
      <c r="AB314" s="82"/>
      <c r="AC314" s="82"/>
      <c r="AE314" s="7" t="s">
        <v>457</v>
      </c>
    </row>
    <row r="315" spans="1:34" x14ac:dyDescent="0.2">
      <c r="W315" s="3"/>
    </row>
    <row r="316" spans="1:34" x14ac:dyDescent="0.2">
      <c r="A316" t="s">
        <v>6</v>
      </c>
      <c r="G316" s="17">
        <f>SUM(G300:G315)</f>
        <v>518541</v>
      </c>
      <c r="H316" s="11">
        <f>SUM(H300:H315)</f>
        <v>415966</v>
      </c>
      <c r="I316" s="4"/>
      <c r="J316" s="4">
        <f t="shared" ref="J316:U316" si="38">SUM(J300:J315)</f>
        <v>23904.550000000003</v>
      </c>
      <c r="K316" s="4">
        <f t="shared" si="38"/>
        <v>24244.65</v>
      </c>
      <c r="L316" s="4">
        <f t="shared" si="38"/>
        <v>26044.48</v>
      </c>
      <c r="M316" s="4">
        <f t="shared" si="38"/>
        <v>34044.479999999996</v>
      </c>
      <c r="N316" s="4">
        <f t="shared" si="38"/>
        <v>23994.48</v>
      </c>
      <c r="O316" s="4">
        <f t="shared" si="38"/>
        <v>25594.48</v>
      </c>
      <c r="P316" s="4">
        <f t="shared" si="38"/>
        <v>26544.48</v>
      </c>
      <c r="Q316" s="4">
        <f t="shared" si="38"/>
        <v>28332.880000000001</v>
      </c>
      <c r="R316" s="4">
        <f t="shared" si="38"/>
        <v>29332.880000000001</v>
      </c>
      <c r="S316" s="4">
        <f t="shared" si="38"/>
        <v>46027.880000000005</v>
      </c>
      <c r="T316" s="4">
        <f t="shared" si="38"/>
        <v>36932.879999999997</v>
      </c>
      <c r="U316" s="4">
        <f t="shared" si="38"/>
        <v>70967.88</v>
      </c>
      <c r="V316" s="77"/>
      <c r="W316" s="3">
        <f>G316-H316</f>
        <v>102575</v>
      </c>
      <c r="X316" s="4"/>
      <c r="Y316" s="4"/>
      <c r="Z316" s="4"/>
      <c r="AA316" s="83">
        <f t="shared" ref="AA316:AC316" si="39">SUM(AA300:AA315)</f>
        <v>20000</v>
      </c>
      <c r="AB316" s="83">
        <f t="shared" si="39"/>
        <v>0</v>
      </c>
      <c r="AC316" s="83">
        <f t="shared" si="39"/>
        <v>0</v>
      </c>
      <c r="AH316" s="4">
        <f>ROUND(SUM(J316:U316),0)</f>
        <v>395966</v>
      </c>
    </row>
    <row r="317" spans="1:34" x14ac:dyDescent="0.2">
      <c r="W317" s="3"/>
    </row>
    <row r="318" spans="1:34" x14ac:dyDescent="0.2">
      <c r="W318" s="3"/>
    </row>
    <row r="319" spans="1:34" ht="15.75" x14ac:dyDescent="0.25">
      <c r="G319" s="150" t="s">
        <v>14</v>
      </c>
      <c r="W319" s="3"/>
    </row>
    <row r="320" spans="1:34" x14ac:dyDescent="0.2">
      <c r="W320" s="3"/>
    </row>
    <row r="321" spans="1:31" ht="16.5" x14ac:dyDescent="0.25">
      <c r="B321" s="8"/>
      <c r="C321" s="8"/>
      <c r="E321" s="8"/>
      <c r="F321" s="8"/>
      <c r="G321" s="20" t="str">
        <f>$G$3</f>
        <v>2020 PARISH SHARE INFORMATION</v>
      </c>
      <c r="H321" s="14"/>
      <c r="W321" s="3"/>
    </row>
    <row r="322" spans="1:31" x14ac:dyDescent="0.2">
      <c r="G322" s="19"/>
      <c r="H322" s="13"/>
      <c r="W322" s="3"/>
    </row>
    <row r="323" spans="1:31" ht="16.5" x14ac:dyDescent="0.25">
      <c r="A323" s="1" t="s">
        <v>1</v>
      </c>
      <c r="B323" s="151" t="str">
        <f>$B$5</f>
        <v>RM</v>
      </c>
      <c r="C323" s="151" t="str">
        <f>$C$5</f>
        <v>RF</v>
      </c>
      <c r="D323" s="151" t="str">
        <f>$D$5</f>
        <v>Accts</v>
      </c>
      <c r="E323" s="151"/>
      <c r="F323" s="151" t="str">
        <f>$F$5</f>
        <v>Share DD</v>
      </c>
      <c r="G323" s="153" t="str">
        <f>$G$5</f>
        <v xml:space="preserve">2020 Share </v>
      </c>
      <c r="H323" s="154" t="str">
        <f>$H$5</f>
        <v xml:space="preserve">2020 Paid </v>
      </c>
      <c r="I323" s="154" t="str">
        <f>$I$5</f>
        <v xml:space="preserve">% Paid </v>
      </c>
      <c r="J323" s="155">
        <f>$J$5</f>
        <v>43861</v>
      </c>
      <c r="K323" s="155">
        <f>$K$5</f>
        <v>43890</v>
      </c>
      <c r="L323" s="155">
        <f>$L$5</f>
        <v>43921</v>
      </c>
      <c r="M323" s="155">
        <f>$M$5</f>
        <v>43951</v>
      </c>
      <c r="N323" s="155">
        <f>$N$5</f>
        <v>43982</v>
      </c>
      <c r="O323" s="155">
        <f>$O$5</f>
        <v>44012</v>
      </c>
      <c r="P323" s="155">
        <f>$P$5</f>
        <v>44043</v>
      </c>
      <c r="Q323" s="155">
        <f>$Q$5</f>
        <v>44074</v>
      </c>
      <c r="R323" s="155">
        <f>$R$5</f>
        <v>44104</v>
      </c>
      <c r="S323" s="155">
        <f>$S$5</f>
        <v>44135</v>
      </c>
      <c r="T323" s="155">
        <f>$T$5</f>
        <v>44165</v>
      </c>
      <c r="U323" s="155">
        <f>$U$5</f>
        <v>44196</v>
      </c>
      <c r="V323" s="78"/>
      <c r="W323" s="157" t="str">
        <f>$W$5</f>
        <v xml:space="preserve">Outstanding </v>
      </c>
      <c r="X323" s="2"/>
      <c r="Y323" s="2"/>
      <c r="Z323" s="2"/>
      <c r="AA323" s="173">
        <v>44197</v>
      </c>
      <c r="AB323" s="173">
        <v>44228</v>
      </c>
      <c r="AC323" s="173">
        <v>44256</v>
      </c>
      <c r="AE323" s="152" t="str">
        <f>$AE$5</f>
        <v>Benefice</v>
      </c>
    </row>
    <row r="324" spans="1:31" ht="16.5" x14ac:dyDescent="0.25">
      <c r="G324" s="146" t="s">
        <v>1040</v>
      </c>
      <c r="H324" s="147" t="s">
        <v>1040</v>
      </c>
      <c r="I324" s="148"/>
      <c r="J324" s="147" t="s">
        <v>1040</v>
      </c>
      <c r="K324" s="147" t="s">
        <v>1040</v>
      </c>
      <c r="L324" s="147" t="s">
        <v>1040</v>
      </c>
      <c r="M324" s="147" t="s">
        <v>1040</v>
      </c>
      <c r="N324" s="147" t="s">
        <v>1040</v>
      </c>
      <c r="O324" s="147" t="s">
        <v>1040</v>
      </c>
      <c r="P324" s="147" t="s">
        <v>1040</v>
      </c>
      <c r="Q324" s="147" t="s">
        <v>1040</v>
      </c>
      <c r="R324" s="147" t="s">
        <v>1040</v>
      </c>
      <c r="S324" s="147" t="s">
        <v>1040</v>
      </c>
      <c r="T324" s="147" t="s">
        <v>1040</v>
      </c>
      <c r="U324" s="147" t="s">
        <v>1040</v>
      </c>
      <c r="W324" s="3"/>
      <c r="AA324" s="174" t="s">
        <v>1040</v>
      </c>
      <c r="AB324" s="174" t="s">
        <v>1040</v>
      </c>
      <c r="AC324" s="174" t="s">
        <v>1040</v>
      </c>
    </row>
    <row r="325" spans="1:31" x14ac:dyDescent="0.2">
      <c r="W325" s="3"/>
    </row>
    <row r="326" spans="1:31" x14ac:dyDescent="0.2">
      <c r="A326" s="141" t="s">
        <v>246</v>
      </c>
      <c r="B326" s="9" t="s">
        <v>495</v>
      </c>
      <c r="C326" s="9" t="s">
        <v>495</v>
      </c>
      <c r="D326" s="9">
        <v>0</v>
      </c>
      <c r="E326" s="9"/>
      <c r="F326" s="9">
        <v>0</v>
      </c>
      <c r="G326" s="4">
        <v>14448</v>
      </c>
      <c r="H326" s="4">
        <f t="shared" ref="H326:H343" si="40">SUM(J326:U326)+SUM(AA326:AC326)</f>
        <v>11500</v>
      </c>
      <c r="I326" s="24">
        <f t="shared" ref="I326:I343" si="41">ROUND((H326/G326),4)</f>
        <v>0.79600000000000004</v>
      </c>
      <c r="J326" s="23">
        <v>0</v>
      </c>
      <c r="K326" s="23"/>
      <c r="L326" s="23"/>
      <c r="M326" s="23">
        <v>3000</v>
      </c>
      <c r="N326" s="23"/>
      <c r="O326" s="23"/>
      <c r="P326" s="23">
        <v>2000</v>
      </c>
      <c r="Q326" s="23"/>
      <c r="R326" s="23"/>
      <c r="S326" s="23">
        <v>2000</v>
      </c>
      <c r="T326" s="23">
        <v>2000</v>
      </c>
      <c r="U326" s="23">
        <v>2500</v>
      </c>
      <c r="V326" s="7" t="s">
        <v>726</v>
      </c>
      <c r="W326" s="23">
        <f t="shared" ref="W326:W343" si="42">G326-H326</f>
        <v>2948</v>
      </c>
      <c r="X326" s="7"/>
      <c r="Y326" s="4"/>
      <c r="Z326" s="4"/>
      <c r="AA326" s="82"/>
      <c r="AB326" s="82"/>
      <c r="AC326" s="82"/>
      <c r="AD326" s="23"/>
      <c r="AE326" s="7" t="s">
        <v>463</v>
      </c>
    </row>
    <row r="327" spans="1:31" x14ac:dyDescent="0.2">
      <c r="A327" s="141" t="s">
        <v>247</v>
      </c>
      <c r="B327" s="9" t="s">
        <v>495</v>
      </c>
      <c r="C327" s="9" t="s">
        <v>495</v>
      </c>
      <c r="D327" s="9" t="s">
        <v>495</v>
      </c>
      <c r="E327" s="9"/>
      <c r="F327" s="9">
        <v>0</v>
      </c>
      <c r="G327" s="4">
        <v>6691</v>
      </c>
      <c r="H327" s="4">
        <f t="shared" si="40"/>
        <v>3500</v>
      </c>
      <c r="I327" s="24">
        <f t="shared" si="41"/>
        <v>0.52310000000000001</v>
      </c>
      <c r="J327" s="23">
        <v>300</v>
      </c>
      <c r="K327" s="23">
        <v>300</v>
      </c>
      <c r="L327" s="23">
        <v>300</v>
      </c>
      <c r="M327" s="23">
        <v>300</v>
      </c>
      <c r="N327" s="23">
        <v>300</v>
      </c>
      <c r="O327" s="23">
        <v>300</v>
      </c>
      <c r="P327" s="23">
        <v>0</v>
      </c>
      <c r="Q327" s="23">
        <v>0</v>
      </c>
      <c r="R327" s="23">
        <v>0</v>
      </c>
      <c r="S327" s="23">
        <v>0</v>
      </c>
      <c r="T327" s="23"/>
      <c r="U327" s="23"/>
      <c r="V327" s="7" t="s">
        <v>727</v>
      </c>
      <c r="W327" s="23">
        <f t="shared" si="42"/>
        <v>3191</v>
      </c>
      <c r="X327" s="7"/>
      <c r="Y327" s="7"/>
      <c r="Z327" s="7"/>
      <c r="AA327" s="82">
        <v>1700</v>
      </c>
      <c r="AB327" s="82"/>
      <c r="AC327" s="82"/>
      <c r="AD327" s="23"/>
      <c r="AE327" s="7" t="s">
        <v>463</v>
      </c>
    </row>
    <row r="328" spans="1:31" x14ac:dyDescent="0.2">
      <c r="A328" s="141" t="s">
        <v>248</v>
      </c>
      <c r="B328" s="9" t="s">
        <v>495</v>
      </c>
      <c r="C328" s="9" t="s">
        <v>495</v>
      </c>
      <c r="D328" s="9" t="s">
        <v>495</v>
      </c>
      <c r="E328" s="9"/>
      <c r="F328" s="9">
        <v>0</v>
      </c>
      <c r="G328" s="4">
        <v>2289</v>
      </c>
      <c r="H328" s="4">
        <f t="shared" si="40"/>
        <v>1500</v>
      </c>
      <c r="I328" s="24">
        <f t="shared" si="41"/>
        <v>0.65529999999999999</v>
      </c>
      <c r="J328" s="23">
        <v>0</v>
      </c>
      <c r="K328" s="23"/>
      <c r="L328" s="23"/>
      <c r="M328" s="23"/>
      <c r="N328" s="23"/>
      <c r="O328" s="23"/>
      <c r="P328" s="23"/>
      <c r="Q328" s="23"/>
      <c r="R328" s="23"/>
      <c r="S328" s="23"/>
      <c r="T328" s="23">
        <v>1000</v>
      </c>
      <c r="U328" s="23">
        <v>500</v>
      </c>
      <c r="V328" s="7" t="s">
        <v>728</v>
      </c>
      <c r="W328" s="23">
        <f t="shared" si="42"/>
        <v>789</v>
      </c>
      <c r="X328" s="7"/>
      <c r="Y328" s="7"/>
      <c r="Z328" s="7"/>
      <c r="AA328" s="82"/>
      <c r="AB328" s="82"/>
      <c r="AC328" s="82"/>
      <c r="AD328" s="23"/>
      <c r="AE328" s="7" t="s">
        <v>463</v>
      </c>
    </row>
    <row r="329" spans="1:31" x14ac:dyDescent="0.2">
      <c r="A329" s="141" t="s">
        <v>249</v>
      </c>
      <c r="B329" s="9" t="s">
        <v>495</v>
      </c>
      <c r="C329" s="9" t="s">
        <v>495</v>
      </c>
      <c r="D329" s="9" t="s">
        <v>495</v>
      </c>
      <c r="E329" s="9"/>
      <c r="F329" s="9" t="s">
        <v>495</v>
      </c>
      <c r="G329" s="4">
        <v>18447</v>
      </c>
      <c r="H329" s="4">
        <f t="shared" si="40"/>
        <v>9385</v>
      </c>
      <c r="I329" s="24">
        <f t="shared" si="41"/>
        <v>0.50880000000000003</v>
      </c>
      <c r="J329" s="23">
        <v>1550</v>
      </c>
      <c r="K329" s="23">
        <v>1385</v>
      </c>
      <c r="L329" s="23">
        <v>1385</v>
      </c>
      <c r="M329" s="23">
        <v>1385</v>
      </c>
      <c r="N329" s="23">
        <v>460</v>
      </c>
      <c r="O329" s="23">
        <v>460</v>
      </c>
      <c r="P329" s="23">
        <v>460</v>
      </c>
      <c r="Q329" s="23">
        <v>460</v>
      </c>
      <c r="R329" s="23">
        <v>460</v>
      </c>
      <c r="S329" s="23">
        <v>460</v>
      </c>
      <c r="T329" s="23">
        <v>460</v>
      </c>
      <c r="U329" s="23">
        <v>460</v>
      </c>
      <c r="V329" s="7" t="s">
        <v>729</v>
      </c>
      <c r="W329" s="23">
        <f t="shared" si="42"/>
        <v>9062</v>
      </c>
      <c r="X329" s="7"/>
      <c r="Y329" s="7"/>
      <c r="Z329" s="7"/>
      <c r="AA329" s="82"/>
      <c r="AB329" s="82"/>
      <c r="AC329" s="82"/>
      <c r="AD329" s="23"/>
      <c r="AE329" s="7" t="s">
        <v>459</v>
      </c>
    </row>
    <row r="330" spans="1:31" x14ac:dyDescent="0.2">
      <c r="A330" s="141" t="s">
        <v>250</v>
      </c>
      <c r="B330" s="9" t="s">
        <v>495</v>
      </c>
      <c r="C330" s="9" t="s">
        <v>495</v>
      </c>
      <c r="D330" s="9" t="s">
        <v>495</v>
      </c>
      <c r="E330" s="9"/>
      <c r="F330" s="9" t="s">
        <v>495</v>
      </c>
      <c r="G330" s="4">
        <v>12090</v>
      </c>
      <c r="H330" s="4">
        <f t="shared" si="40"/>
        <v>11000</v>
      </c>
      <c r="I330" s="24">
        <f t="shared" si="41"/>
        <v>0.90980000000000005</v>
      </c>
      <c r="J330" s="23">
        <v>625</v>
      </c>
      <c r="K330" s="23">
        <v>945</v>
      </c>
      <c r="L330" s="23">
        <v>943</v>
      </c>
      <c r="M330" s="23">
        <v>943</v>
      </c>
      <c r="N330" s="23">
        <v>6601</v>
      </c>
      <c r="O330" s="23">
        <v>943</v>
      </c>
      <c r="P330" s="23"/>
      <c r="Q330" s="23"/>
      <c r="R330" s="23"/>
      <c r="S330" s="23"/>
      <c r="T330" s="23"/>
      <c r="U330" s="23"/>
      <c r="V330" s="7" t="s">
        <v>730</v>
      </c>
      <c r="W330" s="23">
        <f t="shared" si="42"/>
        <v>1090</v>
      </c>
      <c r="X330" s="7"/>
      <c r="Y330" s="7"/>
      <c r="Z330" s="7"/>
      <c r="AA330" s="82"/>
      <c r="AB330" s="82"/>
      <c r="AC330" s="82"/>
      <c r="AD330" s="23"/>
      <c r="AE330" s="7" t="s">
        <v>459</v>
      </c>
    </row>
    <row r="331" spans="1:31" x14ac:dyDescent="0.2">
      <c r="A331" s="141" t="s">
        <v>251</v>
      </c>
      <c r="B331" s="9" t="s">
        <v>495</v>
      </c>
      <c r="C331" s="9" t="s">
        <v>495</v>
      </c>
      <c r="D331" s="9" t="s">
        <v>495</v>
      </c>
      <c r="E331" s="9"/>
      <c r="F331" s="9" t="s">
        <v>495</v>
      </c>
      <c r="G331" s="4">
        <v>66537</v>
      </c>
      <c r="H331" s="4">
        <f t="shared" si="40"/>
        <v>53930.979999999996</v>
      </c>
      <c r="I331" s="24">
        <f t="shared" si="41"/>
        <v>0.8105</v>
      </c>
      <c r="J331" s="23">
        <v>5619.16</v>
      </c>
      <c r="K331" s="23">
        <v>5619.16</v>
      </c>
      <c r="L331" s="23">
        <v>5529.94</v>
      </c>
      <c r="M331" s="23">
        <v>5529.86</v>
      </c>
      <c r="N331" s="23">
        <v>5529.86</v>
      </c>
      <c r="O331" s="23">
        <v>3729</v>
      </c>
      <c r="P331" s="23">
        <v>3729</v>
      </c>
      <c r="Q331" s="23">
        <v>3729</v>
      </c>
      <c r="R331" s="23">
        <v>3729</v>
      </c>
      <c r="S331" s="23">
        <v>3729</v>
      </c>
      <c r="T331" s="23">
        <v>3729</v>
      </c>
      <c r="U331" s="23">
        <v>3729</v>
      </c>
      <c r="V331" s="7" t="s">
        <v>731</v>
      </c>
      <c r="W331" s="23">
        <f t="shared" si="42"/>
        <v>12606.020000000004</v>
      </c>
      <c r="X331" s="7"/>
      <c r="Y331" s="7"/>
      <c r="Z331" s="7"/>
      <c r="AA331" s="82"/>
      <c r="AB331" s="82"/>
      <c r="AC331" s="82"/>
      <c r="AD331" s="23"/>
      <c r="AE331" s="7" t="s">
        <v>460</v>
      </c>
    </row>
    <row r="332" spans="1:31" x14ac:dyDescent="0.2">
      <c r="A332" s="141" t="s">
        <v>252</v>
      </c>
      <c r="B332" s="9" t="s">
        <v>495</v>
      </c>
      <c r="C332" s="9" t="s">
        <v>495</v>
      </c>
      <c r="D332" s="9">
        <v>0</v>
      </c>
      <c r="E332" s="9"/>
      <c r="F332" s="9">
        <v>0</v>
      </c>
      <c r="G332" s="4">
        <v>28435</v>
      </c>
      <c r="H332" s="4">
        <f t="shared" si="40"/>
        <v>19000</v>
      </c>
      <c r="I332" s="24">
        <f t="shared" si="41"/>
        <v>0.66820000000000002</v>
      </c>
      <c r="J332" s="23">
        <v>1500</v>
      </c>
      <c r="K332" s="23">
        <v>1700</v>
      </c>
      <c r="L332" s="23">
        <v>1600</v>
      </c>
      <c r="M332" s="23">
        <v>0</v>
      </c>
      <c r="N332" s="23"/>
      <c r="O332" s="23"/>
      <c r="P332" s="23">
        <v>6400</v>
      </c>
      <c r="Q332" s="23"/>
      <c r="R332" s="23">
        <v>1600</v>
      </c>
      <c r="S332" s="23">
        <v>1600</v>
      </c>
      <c r="T332" s="23">
        <v>2000</v>
      </c>
      <c r="U332" s="23">
        <v>2600</v>
      </c>
      <c r="V332" s="7" t="s">
        <v>732</v>
      </c>
      <c r="W332" s="23">
        <f t="shared" si="42"/>
        <v>9435</v>
      </c>
      <c r="X332" s="7"/>
      <c r="Y332" s="7"/>
      <c r="Z332" s="7"/>
      <c r="AA332" s="82"/>
      <c r="AB332" s="82"/>
      <c r="AC332" s="82"/>
      <c r="AD332" s="23"/>
      <c r="AE332" s="7" t="s">
        <v>461</v>
      </c>
    </row>
    <row r="333" spans="1:31" x14ac:dyDescent="0.2">
      <c r="A333" s="141" t="s">
        <v>253</v>
      </c>
      <c r="B333" s="9" t="s">
        <v>495</v>
      </c>
      <c r="C333" s="9" t="s">
        <v>495</v>
      </c>
      <c r="D333" s="9" t="s">
        <v>495</v>
      </c>
      <c r="E333" s="9"/>
      <c r="F333" s="9">
        <v>0</v>
      </c>
      <c r="G333" s="4">
        <v>30000</v>
      </c>
      <c r="H333" s="4">
        <f t="shared" si="40"/>
        <v>30000</v>
      </c>
      <c r="I333" s="24">
        <f t="shared" si="41"/>
        <v>1</v>
      </c>
      <c r="J333" s="23">
        <v>0</v>
      </c>
      <c r="K333" s="23">
        <v>5000</v>
      </c>
      <c r="L333" s="23">
        <v>2500</v>
      </c>
      <c r="M333" s="23">
        <v>2500</v>
      </c>
      <c r="N333" s="23">
        <v>2500</v>
      </c>
      <c r="O333" s="23">
        <v>2500</v>
      </c>
      <c r="P333" s="23">
        <v>2500</v>
      </c>
      <c r="Q333" s="23">
        <v>2500</v>
      </c>
      <c r="R333" s="23">
        <v>2500</v>
      </c>
      <c r="S333" s="23">
        <v>2500</v>
      </c>
      <c r="T333" s="23">
        <v>2500</v>
      </c>
      <c r="U333" s="23">
        <v>2500</v>
      </c>
      <c r="V333" s="7" t="s">
        <v>733</v>
      </c>
      <c r="W333" s="23">
        <f t="shared" si="42"/>
        <v>0</v>
      </c>
      <c r="X333" s="7"/>
      <c r="Y333" s="7"/>
      <c r="Z333" s="7"/>
      <c r="AA333" s="82"/>
      <c r="AB333" s="82"/>
      <c r="AC333" s="82"/>
      <c r="AD333" s="23"/>
      <c r="AE333" s="7" t="s">
        <v>461</v>
      </c>
    </row>
    <row r="334" spans="1:31" x14ac:dyDescent="0.2">
      <c r="A334" s="141" t="s">
        <v>254</v>
      </c>
      <c r="B334" s="9" t="s">
        <v>495</v>
      </c>
      <c r="C334" s="9" t="s">
        <v>495</v>
      </c>
      <c r="D334" s="9">
        <v>0</v>
      </c>
      <c r="E334" s="9"/>
      <c r="F334" s="9">
        <v>0</v>
      </c>
      <c r="G334" s="4">
        <v>8649</v>
      </c>
      <c r="H334" s="4">
        <f t="shared" si="40"/>
        <v>6000</v>
      </c>
      <c r="I334" s="24">
        <f t="shared" si="41"/>
        <v>0.69369999999999998</v>
      </c>
      <c r="J334" s="23">
        <v>0</v>
      </c>
      <c r="K334" s="23"/>
      <c r="L334" s="23"/>
      <c r="M334" s="23"/>
      <c r="N334" s="23"/>
      <c r="O334" s="23"/>
      <c r="P334" s="23"/>
      <c r="Q334" s="23"/>
      <c r="R334" s="23"/>
      <c r="S334" s="23"/>
      <c r="T334" s="23">
        <v>6000</v>
      </c>
      <c r="U334" s="23"/>
      <c r="V334" s="7" t="s">
        <v>734</v>
      </c>
      <c r="W334" s="23">
        <f t="shared" si="42"/>
        <v>2649</v>
      </c>
      <c r="X334" s="7"/>
      <c r="Y334" s="7"/>
      <c r="Z334" s="7"/>
      <c r="AA334" s="82"/>
      <c r="AB334" s="82"/>
      <c r="AC334" s="82"/>
      <c r="AD334" s="23"/>
      <c r="AE334" s="7" t="s">
        <v>971</v>
      </c>
    </row>
    <row r="335" spans="1:31" x14ac:dyDescent="0.2">
      <c r="A335" s="141" t="s">
        <v>255</v>
      </c>
      <c r="B335" s="9" t="s">
        <v>495</v>
      </c>
      <c r="C335" s="9" t="s">
        <v>495</v>
      </c>
      <c r="D335" s="9" t="s">
        <v>495</v>
      </c>
      <c r="E335" s="9"/>
      <c r="F335" s="9">
        <v>0</v>
      </c>
      <c r="G335" s="4">
        <v>9632</v>
      </c>
      <c r="H335" s="4">
        <f t="shared" si="40"/>
        <v>7244.4</v>
      </c>
      <c r="I335" s="24">
        <f t="shared" si="41"/>
        <v>0.75209999999999999</v>
      </c>
      <c r="J335" s="23">
        <v>0</v>
      </c>
      <c r="K335" s="23"/>
      <c r="L335" s="23"/>
      <c r="M335" s="23"/>
      <c r="N335" s="23"/>
      <c r="O335" s="23"/>
      <c r="P335" s="23">
        <v>2615.5500000000002</v>
      </c>
      <c r="Q335" s="23">
        <v>2250</v>
      </c>
      <c r="R335" s="23"/>
      <c r="S335" s="23"/>
      <c r="T335" s="23"/>
      <c r="U335" s="23">
        <v>2378.85</v>
      </c>
      <c r="V335" s="7" t="s">
        <v>735</v>
      </c>
      <c r="W335" s="23">
        <f t="shared" si="42"/>
        <v>2387.6000000000004</v>
      </c>
      <c r="X335" s="7"/>
      <c r="Y335" s="7"/>
      <c r="Z335" s="7"/>
      <c r="AA335" s="82"/>
      <c r="AB335" s="82"/>
      <c r="AC335" s="82"/>
      <c r="AD335" s="23"/>
      <c r="AE335" s="7" t="s">
        <v>971</v>
      </c>
    </row>
    <row r="336" spans="1:31" x14ac:dyDescent="0.2">
      <c r="A336" s="141" t="s">
        <v>256</v>
      </c>
      <c r="B336" s="9">
        <v>0</v>
      </c>
      <c r="C336" s="9" t="s">
        <v>495</v>
      </c>
      <c r="D336" s="9" t="s">
        <v>495</v>
      </c>
      <c r="E336" s="9"/>
      <c r="F336" s="9" t="s">
        <v>495</v>
      </c>
      <c r="G336" s="4">
        <v>22980</v>
      </c>
      <c r="H336" s="4">
        <f t="shared" si="40"/>
        <v>19214.64</v>
      </c>
      <c r="I336" s="24">
        <f t="shared" si="41"/>
        <v>0.83609999999999995</v>
      </c>
      <c r="J336" s="23">
        <v>1625.16</v>
      </c>
      <c r="K336" s="23">
        <v>1941.44</v>
      </c>
      <c r="L336" s="23">
        <v>1941.34</v>
      </c>
      <c r="M336" s="23">
        <v>1941.34</v>
      </c>
      <c r="N336" s="23">
        <v>1941.34</v>
      </c>
      <c r="O336" s="23">
        <v>1941.34</v>
      </c>
      <c r="P336" s="23">
        <v>1941.34</v>
      </c>
      <c r="Q336" s="23">
        <v>1941.34</v>
      </c>
      <c r="R336" s="23">
        <v>1000</v>
      </c>
      <c r="S336" s="23">
        <v>1000</v>
      </c>
      <c r="T336" s="23">
        <v>1000</v>
      </c>
      <c r="U336" s="23">
        <v>1000</v>
      </c>
      <c r="V336" s="7" t="s">
        <v>736</v>
      </c>
      <c r="W336" s="23">
        <f t="shared" si="42"/>
        <v>3765.3600000000006</v>
      </c>
      <c r="X336" s="7"/>
      <c r="Y336" s="7"/>
      <c r="Z336" s="7"/>
      <c r="AA336" s="82"/>
      <c r="AB336" s="82"/>
      <c r="AC336" s="82"/>
      <c r="AD336" s="23"/>
      <c r="AE336" s="7" t="s">
        <v>971</v>
      </c>
    </row>
    <row r="337" spans="1:34" x14ac:dyDescent="0.2">
      <c r="A337" s="141" t="s">
        <v>257</v>
      </c>
      <c r="B337" s="9" t="s">
        <v>495</v>
      </c>
      <c r="C337" s="9">
        <v>0</v>
      </c>
      <c r="D337" s="9">
        <v>0</v>
      </c>
      <c r="E337" s="9"/>
      <c r="F337" s="9" t="s">
        <v>495</v>
      </c>
      <c r="G337" s="4">
        <v>4000</v>
      </c>
      <c r="H337" s="4">
        <f t="shared" si="40"/>
        <v>1200</v>
      </c>
      <c r="I337" s="24">
        <f t="shared" si="41"/>
        <v>0.3</v>
      </c>
      <c r="J337" s="23">
        <v>100</v>
      </c>
      <c r="K337" s="23">
        <v>100</v>
      </c>
      <c r="L337" s="23">
        <v>100</v>
      </c>
      <c r="M337" s="23">
        <v>100</v>
      </c>
      <c r="N337" s="23">
        <v>100</v>
      </c>
      <c r="O337" s="23">
        <v>100</v>
      </c>
      <c r="P337" s="23">
        <v>100</v>
      </c>
      <c r="Q337" s="23">
        <v>100</v>
      </c>
      <c r="R337" s="23">
        <v>100</v>
      </c>
      <c r="S337" s="23">
        <v>100</v>
      </c>
      <c r="T337" s="23">
        <v>100</v>
      </c>
      <c r="U337" s="23">
        <v>100</v>
      </c>
      <c r="V337" s="7" t="s">
        <v>737</v>
      </c>
      <c r="W337" s="23">
        <f t="shared" si="42"/>
        <v>2800</v>
      </c>
      <c r="X337" s="7"/>
      <c r="Y337" s="7"/>
      <c r="Z337" s="7"/>
      <c r="AA337" s="82"/>
      <c r="AB337" s="82"/>
      <c r="AC337" s="82"/>
      <c r="AD337" s="23"/>
      <c r="AE337" s="7" t="s">
        <v>971</v>
      </c>
    </row>
    <row r="338" spans="1:34" x14ac:dyDescent="0.2">
      <c r="A338" s="141" t="s">
        <v>258</v>
      </c>
      <c r="B338" s="9" t="s">
        <v>495</v>
      </c>
      <c r="C338" s="9">
        <v>0</v>
      </c>
      <c r="D338" s="9" t="s">
        <v>495</v>
      </c>
      <c r="E338" s="9"/>
      <c r="F338" s="9">
        <v>0</v>
      </c>
      <c r="G338" s="4">
        <v>9435</v>
      </c>
      <c r="H338" s="4">
        <f t="shared" si="40"/>
        <v>6000</v>
      </c>
      <c r="I338" s="24">
        <f t="shared" si="41"/>
        <v>0.63590000000000002</v>
      </c>
      <c r="J338" s="23">
        <v>0</v>
      </c>
      <c r="K338" s="23"/>
      <c r="L338" s="23"/>
      <c r="M338" s="23"/>
      <c r="N338" s="23"/>
      <c r="O338" s="23"/>
      <c r="P338" s="23"/>
      <c r="Q338" s="23"/>
      <c r="R338" s="23"/>
      <c r="S338" s="23"/>
      <c r="T338" s="23">
        <v>6000</v>
      </c>
      <c r="U338" s="23"/>
      <c r="V338" s="7" t="s">
        <v>738</v>
      </c>
      <c r="W338" s="23">
        <f t="shared" si="42"/>
        <v>3435</v>
      </c>
      <c r="X338" s="7"/>
      <c r="Y338" s="7"/>
      <c r="Z338" s="7"/>
      <c r="AA338" s="82"/>
      <c r="AB338" s="82"/>
      <c r="AC338" s="82"/>
      <c r="AD338" s="23"/>
      <c r="AE338" s="7" t="s">
        <v>463</v>
      </c>
    </row>
    <row r="339" spans="1:34" x14ac:dyDescent="0.2">
      <c r="A339" s="141" t="s">
        <v>259</v>
      </c>
      <c r="B339" s="9">
        <v>0</v>
      </c>
      <c r="C339" s="9">
        <v>0</v>
      </c>
      <c r="D339" s="9" t="s">
        <v>495</v>
      </c>
      <c r="E339" s="9"/>
      <c r="F339" s="9">
        <v>0</v>
      </c>
      <c r="G339" s="4">
        <v>16409</v>
      </c>
      <c r="H339" s="4">
        <f t="shared" si="40"/>
        <v>12000</v>
      </c>
      <c r="I339" s="24">
        <f t="shared" si="41"/>
        <v>0.73129999999999995</v>
      </c>
      <c r="J339" s="23">
        <v>1000</v>
      </c>
      <c r="K339" s="23">
        <v>1000</v>
      </c>
      <c r="L339" s="23">
        <v>1000</v>
      </c>
      <c r="M339" s="23">
        <v>1000</v>
      </c>
      <c r="N339" s="23">
        <v>1000</v>
      </c>
      <c r="O339" s="23">
        <v>1000</v>
      </c>
      <c r="P339" s="23">
        <v>1000</v>
      </c>
      <c r="Q339" s="23">
        <v>1000</v>
      </c>
      <c r="R339" s="23">
        <v>1000</v>
      </c>
      <c r="S339" s="23">
        <v>1000</v>
      </c>
      <c r="T339" s="23">
        <v>1000</v>
      </c>
      <c r="U339" s="23">
        <v>1000</v>
      </c>
      <c r="V339" s="7" t="s">
        <v>739</v>
      </c>
      <c r="W339" s="23">
        <f t="shared" si="42"/>
        <v>4409</v>
      </c>
      <c r="X339" s="7"/>
      <c r="Y339" s="7"/>
      <c r="Z339" s="7"/>
      <c r="AA339" s="82"/>
      <c r="AB339" s="82"/>
      <c r="AC339" s="82"/>
      <c r="AD339" s="23"/>
      <c r="AE339" s="7" t="s">
        <v>463</v>
      </c>
    </row>
    <row r="340" spans="1:34" x14ac:dyDescent="0.2">
      <c r="A340" s="141" t="s">
        <v>260</v>
      </c>
      <c r="B340" s="9" t="s">
        <v>495</v>
      </c>
      <c r="C340" s="9" t="s">
        <v>495</v>
      </c>
      <c r="D340" s="9">
        <v>0</v>
      </c>
      <c r="E340" s="9"/>
      <c r="F340" s="9" t="s">
        <v>495</v>
      </c>
      <c r="G340" s="4">
        <v>26400</v>
      </c>
      <c r="H340" s="4">
        <f t="shared" si="40"/>
        <v>26400</v>
      </c>
      <c r="I340" s="24">
        <f t="shared" si="41"/>
        <v>1</v>
      </c>
      <c r="J340" s="23">
        <v>2200</v>
      </c>
      <c r="K340" s="23">
        <v>2200</v>
      </c>
      <c r="L340" s="23">
        <v>2200</v>
      </c>
      <c r="M340" s="23">
        <v>2200</v>
      </c>
      <c r="N340" s="23">
        <v>2200</v>
      </c>
      <c r="O340" s="23">
        <v>2200</v>
      </c>
      <c r="P340" s="23">
        <v>2200</v>
      </c>
      <c r="Q340" s="23">
        <v>2200</v>
      </c>
      <c r="R340" s="23">
        <v>2200</v>
      </c>
      <c r="S340" s="23">
        <v>2200</v>
      </c>
      <c r="T340" s="23">
        <v>2200</v>
      </c>
      <c r="U340" s="23">
        <v>2200</v>
      </c>
      <c r="V340" s="7" t="s">
        <v>740</v>
      </c>
      <c r="W340" s="23">
        <f t="shared" si="42"/>
        <v>0</v>
      </c>
      <c r="X340" s="7"/>
      <c r="Y340" s="7"/>
      <c r="Z340" s="7"/>
      <c r="AA340" s="82"/>
      <c r="AB340" s="82"/>
      <c r="AC340" s="82"/>
      <c r="AD340" s="23"/>
      <c r="AE340" s="7" t="s">
        <v>464</v>
      </c>
    </row>
    <row r="341" spans="1:34" x14ac:dyDescent="0.2">
      <c r="A341" s="141" t="s">
        <v>261</v>
      </c>
      <c r="B341" s="9" t="s">
        <v>495</v>
      </c>
      <c r="C341" s="9">
        <v>0</v>
      </c>
      <c r="D341" s="9">
        <v>0</v>
      </c>
      <c r="E341" s="9"/>
      <c r="F341" s="9">
        <v>0</v>
      </c>
      <c r="G341" s="4">
        <v>1330</v>
      </c>
      <c r="H341" s="4">
        <f t="shared" si="40"/>
        <v>500</v>
      </c>
      <c r="I341" s="24">
        <f t="shared" si="41"/>
        <v>0.37590000000000001</v>
      </c>
      <c r="J341" s="23">
        <v>0</v>
      </c>
      <c r="K341" s="23"/>
      <c r="L341" s="23"/>
      <c r="M341" s="23"/>
      <c r="N341" s="23"/>
      <c r="O341" s="23">
        <v>500</v>
      </c>
      <c r="P341" s="23"/>
      <c r="Q341" s="23"/>
      <c r="R341" s="23"/>
      <c r="S341" s="23"/>
      <c r="T341" s="23"/>
      <c r="U341" s="23"/>
      <c r="V341" s="7" t="s">
        <v>741</v>
      </c>
      <c r="W341" s="23">
        <f t="shared" si="42"/>
        <v>830</v>
      </c>
      <c r="X341" s="7"/>
      <c r="Y341" s="7"/>
      <c r="Z341" s="7"/>
      <c r="AA341" s="82"/>
      <c r="AB341" s="82"/>
      <c r="AC341" s="82"/>
      <c r="AD341" s="23"/>
      <c r="AE341" s="7" t="s">
        <v>459</v>
      </c>
    </row>
    <row r="342" spans="1:34" x14ac:dyDescent="0.2">
      <c r="A342" s="141" t="s">
        <v>262</v>
      </c>
      <c r="B342" s="9" t="s">
        <v>495</v>
      </c>
      <c r="C342" s="9" t="s">
        <v>495</v>
      </c>
      <c r="D342" s="9" t="s">
        <v>495</v>
      </c>
      <c r="E342" s="9"/>
      <c r="F342" s="9">
        <v>0</v>
      </c>
      <c r="G342" s="4">
        <v>8133</v>
      </c>
      <c r="H342" s="4">
        <f t="shared" si="40"/>
        <v>7400</v>
      </c>
      <c r="I342" s="24">
        <f t="shared" si="41"/>
        <v>0.90990000000000004</v>
      </c>
      <c r="J342" s="23">
        <v>0</v>
      </c>
      <c r="K342" s="23">
        <v>1850</v>
      </c>
      <c r="L342" s="23"/>
      <c r="M342" s="23"/>
      <c r="N342" s="23"/>
      <c r="O342" s="23">
        <v>1850</v>
      </c>
      <c r="P342" s="23"/>
      <c r="Q342" s="23"/>
      <c r="R342" s="23"/>
      <c r="S342" s="23"/>
      <c r="T342" s="23">
        <v>3700</v>
      </c>
      <c r="U342" s="23"/>
      <c r="V342" s="7" t="s">
        <v>742</v>
      </c>
      <c r="W342" s="23">
        <f t="shared" si="42"/>
        <v>733</v>
      </c>
      <c r="X342" s="7"/>
      <c r="Y342" s="7"/>
      <c r="Z342" s="7"/>
      <c r="AA342" s="82"/>
      <c r="AB342" s="82"/>
      <c r="AC342" s="82"/>
      <c r="AD342" s="23"/>
      <c r="AE342" s="7" t="s">
        <v>459</v>
      </c>
    </row>
    <row r="343" spans="1:34" x14ac:dyDescent="0.2">
      <c r="A343" s="141" t="s">
        <v>263</v>
      </c>
      <c r="B343" s="9" t="s">
        <v>495</v>
      </c>
      <c r="C343" s="9" t="s">
        <v>495</v>
      </c>
      <c r="D343" s="9">
        <v>0</v>
      </c>
      <c r="E343" s="9"/>
      <c r="F343" s="9">
        <v>0</v>
      </c>
      <c r="G343" s="4">
        <v>30250</v>
      </c>
      <c r="H343" s="4">
        <f t="shared" si="40"/>
        <v>30250</v>
      </c>
      <c r="I343" s="24">
        <f t="shared" si="41"/>
        <v>1</v>
      </c>
      <c r="J343" s="23">
        <v>3000</v>
      </c>
      <c r="K343" s="23"/>
      <c r="L343" s="23">
        <v>3000</v>
      </c>
      <c r="M343" s="23">
        <v>1500</v>
      </c>
      <c r="N343" s="23">
        <v>8000</v>
      </c>
      <c r="O343" s="23">
        <v>3000</v>
      </c>
      <c r="P343" s="23">
        <v>4500</v>
      </c>
      <c r="Q343" s="23"/>
      <c r="R343" s="23">
        <v>3000</v>
      </c>
      <c r="S343" s="23">
        <v>1500</v>
      </c>
      <c r="T343" s="23">
        <v>1500</v>
      </c>
      <c r="U343" s="23">
        <v>1250</v>
      </c>
      <c r="V343" s="7" t="s">
        <v>743</v>
      </c>
      <c r="W343" s="23">
        <f t="shared" si="42"/>
        <v>0</v>
      </c>
      <c r="X343" s="7"/>
      <c r="Y343" s="7"/>
      <c r="Z343" s="7"/>
      <c r="AA343" s="82"/>
      <c r="AB343" s="82"/>
      <c r="AC343" s="82"/>
      <c r="AD343" s="23"/>
      <c r="AE343" s="7" t="s">
        <v>462</v>
      </c>
    </row>
    <row r="344" spans="1:34" x14ac:dyDescent="0.2">
      <c r="W344" s="3"/>
      <c r="AA344" s="82"/>
      <c r="AB344" s="82"/>
      <c r="AC344" s="82"/>
    </row>
    <row r="345" spans="1:34" x14ac:dyDescent="0.2">
      <c r="A345" t="s">
        <v>6</v>
      </c>
      <c r="G345" s="17">
        <f>SUM(G326:G344)</f>
        <v>316155</v>
      </c>
      <c r="H345" s="11">
        <f t="shared" ref="H345:U345" si="43">SUM(H326:H344)</f>
        <v>256025.01999999996</v>
      </c>
      <c r="I345" s="4"/>
      <c r="J345" s="4">
        <f t="shared" si="43"/>
        <v>17519.32</v>
      </c>
      <c r="K345" s="4">
        <f t="shared" si="43"/>
        <v>22040.6</v>
      </c>
      <c r="L345" s="4">
        <f t="shared" si="43"/>
        <v>20499.28</v>
      </c>
      <c r="M345" s="4">
        <f t="shared" si="43"/>
        <v>20399.2</v>
      </c>
      <c r="N345" s="4">
        <f t="shared" si="43"/>
        <v>28632.2</v>
      </c>
      <c r="O345" s="4">
        <f t="shared" si="43"/>
        <v>18523.34</v>
      </c>
      <c r="P345" s="4">
        <f t="shared" si="43"/>
        <v>27445.89</v>
      </c>
      <c r="Q345" s="4">
        <f t="shared" si="43"/>
        <v>14180.34</v>
      </c>
      <c r="R345" s="4">
        <f t="shared" si="43"/>
        <v>15589</v>
      </c>
      <c r="S345" s="4">
        <f t="shared" si="43"/>
        <v>16089</v>
      </c>
      <c r="T345" s="4">
        <f t="shared" si="43"/>
        <v>33189</v>
      </c>
      <c r="U345" s="4">
        <f t="shared" si="43"/>
        <v>20217.849999999999</v>
      </c>
      <c r="V345" s="77"/>
      <c r="W345" s="3">
        <f>G345-H345</f>
        <v>60129.98000000004</v>
      </c>
      <c r="X345" s="4"/>
      <c r="Y345" s="4"/>
      <c r="Z345" s="4"/>
      <c r="AA345" s="83">
        <f t="shared" ref="AA345:AC345" si="44">SUM(AA326:AA344)</f>
        <v>1700</v>
      </c>
      <c r="AB345" s="83">
        <f t="shared" si="44"/>
        <v>0</v>
      </c>
      <c r="AC345" s="83">
        <f t="shared" si="44"/>
        <v>0</v>
      </c>
      <c r="AH345" s="4">
        <f>ROUND(SUM(J345:U345),0)</f>
        <v>254325</v>
      </c>
    </row>
    <row r="346" spans="1:34" x14ac:dyDescent="0.2">
      <c r="W346" s="3"/>
    </row>
    <row r="347" spans="1:34" x14ac:dyDescent="0.2">
      <c r="W347" s="3"/>
    </row>
    <row r="348" spans="1:34" s="6" customFormat="1" ht="15.75" x14ac:dyDescent="0.25">
      <c r="B348" s="10"/>
      <c r="C348" s="10"/>
      <c r="D348" s="10"/>
      <c r="E348" s="10"/>
      <c r="F348" s="10"/>
      <c r="G348" s="150" t="s">
        <v>15</v>
      </c>
      <c r="H348" s="15"/>
      <c r="V348" s="10"/>
      <c r="W348" s="3"/>
      <c r="AE348" s="10"/>
    </row>
    <row r="349" spans="1:34" s="6" customFormat="1" x14ac:dyDescent="0.2">
      <c r="B349" s="10"/>
      <c r="C349" s="10"/>
      <c r="D349" s="9"/>
      <c r="E349" s="10"/>
      <c r="F349" s="10"/>
      <c r="G349" s="21"/>
      <c r="H349" s="15"/>
      <c r="V349" s="10"/>
      <c r="W349" s="3"/>
      <c r="AE349" s="10"/>
    </row>
    <row r="350" spans="1:34" ht="16.5" x14ac:dyDescent="0.25">
      <c r="B350" s="8"/>
      <c r="C350" s="8"/>
      <c r="E350" s="8"/>
      <c r="F350" s="8"/>
      <c r="G350" s="20" t="str">
        <f>$G$3</f>
        <v>2020 PARISH SHARE INFORMATION</v>
      </c>
      <c r="H350" s="14"/>
      <c r="W350" s="3"/>
    </row>
    <row r="351" spans="1:34" x14ac:dyDescent="0.2">
      <c r="G351" s="19"/>
      <c r="H351" s="13"/>
      <c r="W351" s="3"/>
    </row>
    <row r="352" spans="1:34" ht="16.5" x14ac:dyDescent="0.25">
      <c r="A352" s="1" t="s">
        <v>1</v>
      </c>
      <c r="B352" s="151" t="str">
        <f>$B$5</f>
        <v>RM</v>
      </c>
      <c r="C352" s="151" t="str">
        <f>$C$5</f>
        <v>RF</v>
      </c>
      <c r="D352" s="151" t="str">
        <f>$D$5</f>
        <v>Accts</v>
      </c>
      <c r="E352" s="151"/>
      <c r="F352" s="151" t="str">
        <f>$F$5</f>
        <v>Share DD</v>
      </c>
      <c r="G352" s="153" t="str">
        <f>$G$5</f>
        <v xml:space="preserve">2020 Share </v>
      </c>
      <c r="H352" s="154" t="str">
        <f>$H$5</f>
        <v xml:space="preserve">2020 Paid </v>
      </c>
      <c r="I352" s="154" t="str">
        <f>$I$5</f>
        <v xml:space="preserve">% Paid </v>
      </c>
      <c r="J352" s="155">
        <f>$J$5</f>
        <v>43861</v>
      </c>
      <c r="K352" s="155">
        <f>$K$5</f>
        <v>43890</v>
      </c>
      <c r="L352" s="155">
        <f>$L$5</f>
        <v>43921</v>
      </c>
      <c r="M352" s="155">
        <f>$M$5</f>
        <v>43951</v>
      </c>
      <c r="N352" s="155">
        <f>$N$5</f>
        <v>43982</v>
      </c>
      <c r="O352" s="155">
        <f>$O$5</f>
        <v>44012</v>
      </c>
      <c r="P352" s="155">
        <f>$P$5</f>
        <v>44043</v>
      </c>
      <c r="Q352" s="155">
        <f>$Q$5</f>
        <v>44074</v>
      </c>
      <c r="R352" s="155">
        <f>$R$5</f>
        <v>44104</v>
      </c>
      <c r="S352" s="155">
        <f>$S$5</f>
        <v>44135</v>
      </c>
      <c r="T352" s="155">
        <f>$T$5</f>
        <v>44165</v>
      </c>
      <c r="U352" s="155">
        <f>$U$5</f>
        <v>44196</v>
      </c>
      <c r="V352" s="78"/>
      <c r="W352" s="157" t="str">
        <f>$W$5</f>
        <v xml:space="preserve">Outstanding </v>
      </c>
      <c r="X352" s="2"/>
      <c r="Y352" s="2"/>
      <c r="Z352" s="2"/>
      <c r="AA352" s="173">
        <v>44197</v>
      </c>
      <c r="AB352" s="173">
        <v>44228</v>
      </c>
      <c r="AC352" s="173">
        <v>44256</v>
      </c>
      <c r="AE352" s="152" t="str">
        <f>$AE$5</f>
        <v>Benefice</v>
      </c>
    </row>
    <row r="353" spans="1:31" ht="16.5" x14ac:dyDescent="0.25">
      <c r="G353" s="146" t="s">
        <v>1040</v>
      </c>
      <c r="H353" s="147" t="s">
        <v>1040</v>
      </c>
      <c r="I353" s="148"/>
      <c r="J353" s="147" t="s">
        <v>1040</v>
      </c>
      <c r="K353" s="147" t="s">
        <v>1040</v>
      </c>
      <c r="L353" s="147" t="s">
        <v>1040</v>
      </c>
      <c r="M353" s="147" t="s">
        <v>1040</v>
      </c>
      <c r="N353" s="147" t="s">
        <v>1040</v>
      </c>
      <c r="O353" s="147" t="s">
        <v>1040</v>
      </c>
      <c r="P353" s="147" t="s">
        <v>1040</v>
      </c>
      <c r="Q353" s="147" t="s">
        <v>1040</v>
      </c>
      <c r="R353" s="147" t="s">
        <v>1040</v>
      </c>
      <c r="S353" s="147" t="s">
        <v>1040</v>
      </c>
      <c r="T353" s="147" t="s">
        <v>1040</v>
      </c>
      <c r="U353" s="147" t="s">
        <v>1040</v>
      </c>
      <c r="W353" s="3"/>
      <c r="AA353" s="174" t="s">
        <v>1040</v>
      </c>
      <c r="AB353" s="174" t="s">
        <v>1040</v>
      </c>
      <c r="AC353" s="174" t="s">
        <v>1040</v>
      </c>
    </row>
    <row r="354" spans="1:31" x14ac:dyDescent="0.2">
      <c r="W354" s="3"/>
    </row>
    <row r="355" spans="1:31" x14ac:dyDescent="0.2">
      <c r="A355" s="141" t="s">
        <v>264</v>
      </c>
      <c r="B355" s="9" t="s">
        <v>495</v>
      </c>
      <c r="C355" s="9">
        <v>0</v>
      </c>
      <c r="D355" s="9">
        <v>0</v>
      </c>
      <c r="E355" s="9"/>
      <c r="F355" s="9" t="s">
        <v>495</v>
      </c>
      <c r="G355" s="4">
        <v>9222</v>
      </c>
      <c r="H355" s="4">
        <f t="shared" ref="H355:H389" si="45">SUM(J355:U355)+SUM(AA355:AC355)</f>
        <v>7685</v>
      </c>
      <c r="I355" s="24">
        <f t="shared" ref="I355:I389" si="46">ROUND((H355/G355),4)</f>
        <v>0.83330000000000004</v>
      </c>
      <c r="J355" s="23">
        <v>768.5</v>
      </c>
      <c r="K355" s="23">
        <v>768.5</v>
      </c>
      <c r="L355" s="23">
        <v>768.5</v>
      </c>
      <c r="M355" s="23">
        <v>768.5</v>
      </c>
      <c r="N355" s="23">
        <v>768.5</v>
      </c>
      <c r="O355" s="23">
        <v>768.5</v>
      </c>
      <c r="P355" s="23">
        <v>768.5</v>
      </c>
      <c r="Q355" s="23">
        <v>768.5</v>
      </c>
      <c r="R355" s="23">
        <v>768.5</v>
      </c>
      <c r="S355" s="23">
        <v>768.5</v>
      </c>
      <c r="T355" s="23">
        <v>0</v>
      </c>
      <c r="U355" s="23">
        <v>0</v>
      </c>
      <c r="V355" s="7" t="s">
        <v>744</v>
      </c>
      <c r="W355" s="23">
        <f t="shared" ref="W355:W389" si="47">G355-H355</f>
        <v>1537</v>
      </c>
      <c r="X355" s="7"/>
      <c r="Y355" s="4"/>
      <c r="Z355" s="4"/>
      <c r="AA355" s="82"/>
      <c r="AB355" s="82"/>
      <c r="AC355" s="82"/>
      <c r="AD355" s="23"/>
      <c r="AE355" s="7" t="s">
        <v>465</v>
      </c>
    </row>
    <row r="356" spans="1:31" x14ac:dyDescent="0.2">
      <c r="A356" s="141" t="s">
        <v>265</v>
      </c>
      <c r="B356" s="9" t="s">
        <v>495</v>
      </c>
      <c r="C356" s="9" t="s">
        <v>495</v>
      </c>
      <c r="D356" s="9" t="s">
        <v>495</v>
      </c>
      <c r="E356" s="9"/>
      <c r="F356" s="9">
        <v>0</v>
      </c>
      <c r="G356" s="4">
        <v>4368</v>
      </c>
      <c r="H356" s="4">
        <f t="shared" si="45"/>
        <v>4369</v>
      </c>
      <c r="I356" s="24">
        <f t="shared" si="46"/>
        <v>1.0002</v>
      </c>
      <c r="J356" s="23">
        <v>0</v>
      </c>
      <c r="K356" s="23"/>
      <c r="L356" s="23">
        <v>4369</v>
      </c>
      <c r="M356" s="23"/>
      <c r="N356" s="23"/>
      <c r="O356" s="23"/>
      <c r="P356" s="23"/>
      <c r="Q356" s="23"/>
      <c r="R356" s="23"/>
      <c r="S356" s="23"/>
      <c r="T356" s="23"/>
      <c r="U356" s="23"/>
      <c r="V356" s="7" t="s">
        <v>745</v>
      </c>
      <c r="W356" s="23">
        <f t="shared" si="47"/>
        <v>-1</v>
      </c>
      <c r="X356" s="7"/>
      <c r="Y356" s="4"/>
      <c r="Z356" s="7"/>
      <c r="AA356" s="82"/>
      <c r="AB356" s="82"/>
      <c r="AC356" s="82"/>
      <c r="AD356" s="23"/>
      <c r="AE356" s="7" t="s">
        <v>465</v>
      </c>
    </row>
    <row r="357" spans="1:31" x14ac:dyDescent="0.2">
      <c r="A357" s="141" t="s">
        <v>266</v>
      </c>
      <c r="B357" s="9" t="s">
        <v>495</v>
      </c>
      <c r="C357" s="9">
        <v>0</v>
      </c>
      <c r="D357" s="9">
        <v>0</v>
      </c>
      <c r="E357" s="9"/>
      <c r="F357" s="9" t="s">
        <v>495</v>
      </c>
      <c r="G357" s="4">
        <v>2427</v>
      </c>
      <c r="H357" s="4">
        <f t="shared" si="45"/>
        <v>2427</v>
      </c>
      <c r="I357" s="24">
        <f t="shared" si="46"/>
        <v>1</v>
      </c>
      <c r="J357" s="23">
        <v>202.25</v>
      </c>
      <c r="K357" s="23">
        <v>202.25</v>
      </c>
      <c r="L357" s="23">
        <v>202.25</v>
      </c>
      <c r="M357" s="23">
        <v>202.25</v>
      </c>
      <c r="N357" s="23">
        <v>202.25</v>
      </c>
      <c r="O357" s="23">
        <v>202.25</v>
      </c>
      <c r="P357" s="23">
        <v>202.25</v>
      </c>
      <c r="Q357" s="23">
        <v>202.25</v>
      </c>
      <c r="R357" s="23">
        <v>202.25</v>
      </c>
      <c r="S357" s="23">
        <v>202.25</v>
      </c>
      <c r="T357" s="23">
        <v>202.25</v>
      </c>
      <c r="U357" s="23">
        <v>202.25</v>
      </c>
      <c r="V357" s="7" t="s">
        <v>746</v>
      </c>
      <c r="W357" s="23">
        <f t="shared" si="47"/>
        <v>0</v>
      </c>
      <c r="X357" s="7"/>
      <c r="Y357" s="4"/>
      <c r="Z357" s="7"/>
      <c r="AA357" s="82"/>
      <c r="AB357" s="82"/>
      <c r="AC357" s="82"/>
      <c r="AD357" s="23"/>
      <c r="AE357" s="7" t="s">
        <v>465</v>
      </c>
    </row>
    <row r="358" spans="1:31" x14ac:dyDescent="0.2">
      <c r="A358" s="141" t="s">
        <v>267</v>
      </c>
      <c r="B358" s="9" t="s">
        <v>495</v>
      </c>
      <c r="C358" s="9" t="s">
        <v>495</v>
      </c>
      <c r="D358" s="9" t="s">
        <v>495</v>
      </c>
      <c r="E358" s="9"/>
      <c r="F358" s="9">
        <v>0</v>
      </c>
      <c r="G358" s="4">
        <v>6795</v>
      </c>
      <c r="H358" s="4">
        <f t="shared" si="45"/>
        <v>6795</v>
      </c>
      <c r="I358" s="24">
        <f t="shared" si="46"/>
        <v>1</v>
      </c>
      <c r="J358" s="23">
        <v>0</v>
      </c>
      <c r="K358" s="23"/>
      <c r="L358" s="23">
        <v>2265</v>
      </c>
      <c r="M358" s="23"/>
      <c r="N358" s="23"/>
      <c r="O358" s="23"/>
      <c r="P358" s="23"/>
      <c r="Q358" s="23"/>
      <c r="R358" s="23"/>
      <c r="S358" s="23">
        <v>4530</v>
      </c>
      <c r="T358" s="23"/>
      <c r="U358" s="23"/>
      <c r="V358" s="7" t="s">
        <v>747</v>
      </c>
      <c r="W358" s="23">
        <f t="shared" si="47"/>
        <v>0</v>
      </c>
      <c r="X358" s="7"/>
      <c r="Y358" s="4"/>
      <c r="Z358" s="7"/>
      <c r="AA358" s="82"/>
      <c r="AB358" s="82"/>
      <c r="AC358" s="82"/>
      <c r="AD358" s="23"/>
      <c r="AE358" s="7" t="s">
        <v>465</v>
      </c>
    </row>
    <row r="359" spans="1:31" x14ac:dyDescent="0.2">
      <c r="A359" s="141" t="s">
        <v>268</v>
      </c>
      <c r="B359" s="9" t="s">
        <v>495</v>
      </c>
      <c r="C359" s="9">
        <v>0</v>
      </c>
      <c r="D359" s="9">
        <v>0</v>
      </c>
      <c r="E359" s="9"/>
      <c r="F359" s="9">
        <v>0</v>
      </c>
      <c r="G359" s="4">
        <v>4853</v>
      </c>
      <c r="H359" s="4">
        <f t="shared" si="45"/>
        <v>1100</v>
      </c>
      <c r="I359" s="24">
        <f t="shared" si="46"/>
        <v>0.22670000000000001</v>
      </c>
      <c r="J359" s="23">
        <v>0</v>
      </c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>
        <v>1100</v>
      </c>
      <c r="V359" s="7" t="s">
        <v>748</v>
      </c>
      <c r="W359" s="23">
        <f t="shared" si="47"/>
        <v>3753</v>
      </c>
      <c r="X359" s="7"/>
      <c r="Y359" s="4"/>
      <c r="Z359" s="7"/>
      <c r="AA359" s="82"/>
      <c r="AB359" s="82"/>
      <c r="AC359" s="82"/>
      <c r="AD359" s="23"/>
      <c r="AE359" s="7" t="s">
        <v>465</v>
      </c>
    </row>
    <row r="360" spans="1:31" x14ac:dyDescent="0.2">
      <c r="A360" s="141" t="s">
        <v>269</v>
      </c>
      <c r="B360" s="9" t="s">
        <v>495</v>
      </c>
      <c r="C360" s="9" t="s">
        <v>495</v>
      </c>
      <c r="D360" s="9">
        <v>0</v>
      </c>
      <c r="E360" s="9"/>
      <c r="F360" s="9">
        <v>0</v>
      </c>
      <c r="G360" s="4">
        <v>24684</v>
      </c>
      <c r="H360" s="4">
        <f t="shared" si="45"/>
        <v>8312</v>
      </c>
      <c r="I360" s="24">
        <f t="shared" si="46"/>
        <v>0.3367</v>
      </c>
      <c r="J360" s="23">
        <v>500</v>
      </c>
      <c r="K360" s="23">
        <v>500</v>
      </c>
      <c r="L360" s="23">
        <v>500</v>
      </c>
      <c r="M360" s="23">
        <v>812</v>
      </c>
      <c r="N360" s="23">
        <v>500</v>
      </c>
      <c r="O360" s="23">
        <v>500</v>
      </c>
      <c r="P360" s="23">
        <v>500</v>
      </c>
      <c r="Q360" s="23">
        <v>500</v>
      </c>
      <c r="R360" s="23">
        <v>500</v>
      </c>
      <c r="S360" s="23">
        <v>2500</v>
      </c>
      <c r="T360" s="23">
        <v>500</v>
      </c>
      <c r="U360" s="23">
        <v>500</v>
      </c>
      <c r="V360" s="7" t="s">
        <v>749</v>
      </c>
      <c r="W360" s="23">
        <f t="shared" si="47"/>
        <v>16372</v>
      </c>
      <c r="X360" s="7"/>
      <c r="Y360" s="4"/>
      <c r="Z360" s="7"/>
      <c r="AA360" s="82"/>
      <c r="AB360" s="82"/>
      <c r="AC360" s="82"/>
      <c r="AD360" s="23"/>
      <c r="AE360" s="7" t="s">
        <v>467</v>
      </c>
    </row>
    <row r="361" spans="1:31" x14ac:dyDescent="0.2">
      <c r="A361" s="141" t="s">
        <v>270</v>
      </c>
      <c r="B361" s="9" t="s">
        <v>495</v>
      </c>
      <c r="C361" s="9" t="s">
        <v>495</v>
      </c>
      <c r="D361" s="9">
        <v>0</v>
      </c>
      <c r="E361" s="9"/>
      <c r="F361" s="9">
        <v>0</v>
      </c>
      <c r="G361" s="4">
        <v>5551</v>
      </c>
      <c r="H361" s="4">
        <f t="shared" si="45"/>
        <v>5551</v>
      </c>
      <c r="I361" s="24">
        <f t="shared" si="46"/>
        <v>1</v>
      </c>
      <c r="J361" s="23">
        <v>0</v>
      </c>
      <c r="K361" s="23">
        <v>2500</v>
      </c>
      <c r="L361" s="23"/>
      <c r="M361" s="23"/>
      <c r="N361" s="23"/>
      <c r="O361" s="23">
        <v>3051</v>
      </c>
      <c r="P361" s="23"/>
      <c r="Q361" s="23"/>
      <c r="R361" s="23"/>
      <c r="S361" s="23"/>
      <c r="T361" s="23"/>
      <c r="U361" s="23"/>
      <c r="V361" s="7" t="s">
        <v>750</v>
      </c>
      <c r="W361" s="23">
        <f t="shared" si="47"/>
        <v>0</v>
      </c>
      <c r="X361" s="7"/>
      <c r="Y361" s="4"/>
      <c r="Z361" s="7"/>
      <c r="AA361" s="82"/>
      <c r="AB361" s="82"/>
      <c r="AC361" s="82"/>
      <c r="AD361" s="23"/>
      <c r="AE361" s="7" t="s">
        <v>467</v>
      </c>
    </row>
    <row r="362" spans="1:31" x14ac:dyDescent="0.2">
      <c r="A362" s="141" t="s">
        <v>271</v>
      </c>
      <c r="B362" s="9" t="s">
        <v>495</v>
      </c>
      <c r="C362" s="9" t="s">
        <v>495</v>
      </c>
      <c r="D362" s="9">
        <v>0</v>
      </c>
      <c r="E362" s="9"/>
      <c r="F362" s="9">
        <v>0</v>
      </c>
      <c r="G362" s="4">
        <v>4478</v>
      </c>
      <c r="H362" s="4">
        <f t="shared" si="45"/>
        <v>4478</v>
      </c>
      <c r="I362" s="24">
        <f t="shared" si="46"/>
        <v>1</v>
      </c>
      <c r="J362" s="23">
        <v>0</v>
      </c>
      <c r="K362" s="23"/>
      <c r="L362" s="23"/>
      <c r="M362" s="23"/>
      <c r="N362" s="23"/>
      <c r="O362" s="23"/>
      <c r="P362" s="23"/>
      <c r="Q362" s="23"/>
      <c r="R362" s="23"/>
      <c r="S362" s="23"/>
      <c r="T362" s="23">
        <v>4478</v>
      </c>
      <c r="U362" s="23"/>
      <c r="V362" s="7" t="s">
        <v>751</v>
      </c>
      <c r="W362" s="23">
        <f t="shared" si="47"/>
        <v>0</v>
      </c>
      <c r="X362" s="7"/>
      <c r="Y362" s="4"/>
      <c r="Z362" s="7"/>
      <c r="AA362" s="82"/>
      <c r="AB362" s="82"/>
      <c r="AC362" s="82"/>
      <c r="AD362" s="23"/>
      <c r="AE362" s="7" t="s">
        <v>467</v>
      </c>
    </row>
    <row r="363" spans="1:31" x14ac:dyDescent="0.2">
      <c r="A363" s="141" t="s">
        <v>272</v>
      </c>
      <c r="B363" s="9">
        <v>0</v>
      </c>
      <c r="C363" s="9">
        <v>0</v>
      </c>
      <c r="D363" s="9">
        <v>0</v>
      </c>
      <c r="E363" s="9"/>
      <c r="F363" s="9" t="s">
        <v>495</v>
      </c>
      <c r="G363" s="4">
        <v>13480</v>
      </c>
      <c r="H363" s="4">
        <f t="shared" si="45"/>
        <v>13480</v>
      </c>
      <c r="I363" s="24">
        <f t="shared" si="46"/>
        <v>1</v>
      </c>
      <c r="J363" s="23">
        <v>3370</v>
      </c>
      <c r="K363" s="23"/>
      <c r="L363" s="23"/>
      <c r="M363" s="23">
        <v>3370</v>
      </c>
      <c r="N363" s="23"/>
      <c r="O363" s="23"/>
      <c r="P363" s="23">
        <v>3370</v>
      </c>
      <c r="Q363" s="23"/>
      <c r="R363" s="23"/>
      <c r="S363" s="23">
        <v>3370</v>
      </c>
      <c r="T363" s="23"/>
      <c r="U363" s="23"/>
      <c r="V363" s="7" t="s">
        <v>752</v>
      </c>
      <c r="W363" s="23">
        <f t="shared" si="47"/>
        <v>0</v>
      </c>
      <c r="X363" s="7"/>
      <c r="Y363" s="4"/>
      <c r="Z363" s="7"/>
      <c r="AA363" s="82"/>
      <c r="AB363" s="82"/>
      <c r="AC363" s="82"/>
      <c r="AD363" s="23"/>
      <c r="AE363" s="7" t="s">
        <v>466</v>
      </c>
    </row>
    <row r="364" spans="1:31" x14ac:dyDescent="0.2">
      <c r="A364" s="141" t="s">
        <v>273</v>
      </c>
      <c r="B364" s="9">
        <v>0</v>
      </c>
      <c r="C364" s="9">
        <v>0</v>
      </c>
      <c r="D364" s="9">
        <v>0</v>
      </c>
      <c r="E364" s="9"/>
      <c r="F364" s="9">
        <v>0</v>
      </c>
      <c r="G364" s="4">
        <v>6336</v>
      </c>
      <c r="H364" s="4">
        <f t="shared" si="45"/>
        <v>0</v>
      </c>
      <c r="I364" s="24">
        <f t="shared" si="46"/>
        <v>0</v>
      </c>
      <c r="J364" s="23">
        <v>0</v>
      </c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7" t="s">
        <v>753</v>
      </c>
      <c r="W364" s="23">
        <f t="shared" si="47"/>
        <v>6336</v>
      </c>
      <c r="X364" s="7"/>
      <c r="Y364" s="4"/>
      <c r="Z364" s="7"/>
      <c r="AA364" s="82"/>
      <c r="AB364" s="82"/>
      <c r="AC364" s="82"/>
      <c r="AD364" s="23"/>
      <c r="AE364" s="7" t="s">
        <v>468</v>
      </c>
    </row>
    <row r="365" spans="1:31" x14ac:dyDescent="0.2">
      <c r="A365" s="141" t="s">
        <v>274</v>
      </c>
      <c r="B365" s="9" t="s">
        <v>495</v>
      </c>
      <c r="C365" s="9">
        <v>0</v>
      </c>
      <c r="D365" s="9">
        <v>0</v>
      </c>
      <c r="E365" s="9"/>
      <c r="F365" s="9" t="s">
        <v>495</v>
      </c>
      <c r="G365" s="4">
        <v>15340</v>
      </c>
      <c r="H365" s="4">
        <f t="shared" si="45"/>
        <v>15339.999999999998</v>
      </c>
      <c r="I365" s="24">
        <f t="shared" si="46"/>
        <v>1</v>
      </c>
      <c r="J365" s="23">
        <v>1278.3699999999999</v>
      </c>
      <c r="K365" s="23">
        <v>1278.33</v>
      </c>
      <c r="L365" s="23">
        <v>1278.33</v>
      </c>
      <c r="M365" s="23">
        <v>1278.33</v>
      </c>
      <c r="N365" s="23">
        <v>1278.33</v>
      </c>
      <c r="O365" s="23">
        <v>1278.33</v>
      </c>
      <c r="P365" s="23">
        <v>1278.33</v>
      </c>
      <c r="Q365" s="23">
        <v>1278.33</v>
      </c>
      <c r="R365" s="23">
        <v>1278.33</v>
      </c>
      <c r="S365" s="23">
        <v>1278.33</v>
      </c>
      <c r="T365" s="23">
        <v>1278.33</v>
      </c>
      <c r="U365" s="23">
        <v>1278.33</v>
      </c>
      <c r="V365" s="7" t="s">
        <v>754</v>
      </c>
      <c r="W365" s="23">
        <f t="shared" si="47"/>
        <v>0</v>
      </c>
      <c r="X365" s="7"/>
      <c r="Y365" s="4"/>
      <c r="Z365" s="7"/>
      <c r="AA365" s="82"/>
      <c r="AB365" s="82"/>
      <c r="AC365" s="82"/>
      <c r="AD365" s="23"/>
      <c r="AE365" s="7" t="s">
        <v>466</v>
      </c>
    </row>
    <row r="366" spans="1:31" x14ac:dyDescent="0.2">
      <c r="A366" s="141" t="s">
        <v>275</v>
      </c>
      <c r="B366" s="9">
        <v>0</v>
      </c>
      <c r="C366" s="9" t="s">
        <v>495</v>
      </c>
      <c r="D366" s="9" t="s">
        <v>495</v>
      </c>
      <c r="E366" s="9"/>
      <c r="F366" s="9" t="s">
        <v>495</v>
      </c>
      <c r="G366" s="4">
        <v>21600</v>
      </c>
      <c r="H366" s="4">
        <f t="shared" si="45"/>
        <v>13000</v>
      </c>
      <c r="I366" s="24">
        <f t="shared" si="46"/>
        <v>0.60189999999999999</v>
      </c>
      <c r="J366" s="23">
        <v>1200</v>
      </c>
      <c r="K366" s="23">
        <v>1200</v>
      </c>
      <c r="L366" s="23">
        <v>6200</v>
      </c>
      <c r="M366" s="23">
        <v>1200</v>
      </c>
      <c r="N366" s="23">
        <v>1200</v>
      </c>
      <c r="O366" s="23"/>
      <c r="P366" s="23"/>
      <c r="Q366" s="23"/>
      <c r="R366" s="23"/>
      <c r="S366" s="23"/>
      <c r="T366" s="23">
        <v>2000</v>
      </c>
      <c r="U366" s="23"/>
      <c r="V366" s="7" t="s">
        <v>755</v>
      </c>
      <c r="W366" s="23">
        <f t="shared" si="47"/>
        <v>8600</v>
      </c>
      <c r="X366" s="7"/>
      <c r="Y366" s="4"/>
      <c r="Z366" s="7"/>
      <c r="AA366" s="82"/>
      <c r="AB366" s="82"/>
      <c r="AC366" s="82"/>
      <c r="AD366" s="23"/>
      <c r="AE366" s="7" t="s">
        <v>471</v>
      </c>
    </row>
    <row r="367" spans="1:31" x14ac:dyDescent="0.2">
      <c r="A367" s="141" t="s">
        <v>276</v>
      </c>
      <c r="B367" s="9">
        <v>0</v>
      </c>
      <c r="C367" s="9">
        <v>0</v>
      </c>
      <c r="D367" s="9">
        <v>0</v>
      </c>
      <c r="E367" s="9"/>
      <c r="F367" s="9" t="s">
        <v>495</v>
      </c>
      <c r="G367" s="4">
        <v>10050</v>
      </c>
      <c r="H367" s="4">
        <f t="shared" si="45"/>
        <v>4775</v>
      </c>
      <c r="I367" s="24">
        <f t="shared" si="46"/>
        <v>0.47510000000000002</v>
      </c>
      <c r="J367" s="23">
        <v>265</v>
      </c>
      <c r="K367" s="23">
        <v>265</v>
      </c>
      <c r="L367" s="23">
        <v>265</v>
      </c>
      <c r="M367" s="23">
        <v>0</v>
      </c>
      <c r="N367" s="23">
        <v>0</v>
      </c>
      <c r="O367" s="23"/>
      <c r="P367" s="23"/>
      <c r="Q367" s="23"/>
      <c r="R367" s="23"/>
      <c r="S367" s="23">
        <v>312</v>
      </c>
      <c r="T367" s="23"/>
      <c r="U367" s="23">
        <v>3668</v>
      </c>
      <c r="V367" s="7" t="s">
        <v>756</v>
      </c>
      <c r="W367" s="23">
        <f t="shared" si="47"/>
        <v>5275</v>
      </c>
      <c r="X367" s="7"/>
      <c r="Y367" s="4"/>
      <c r="Z367" s="7"/>
      <c r="AA367" s="82"/>
      <c r="AB367" s="82"/>
      <c r="AC367" s="82"/>
      <c r="AD367" s="23"/>
      <c r="AE367" s="7" t="s">
        <v>471</v>
      </c>
    </row>
    <row r="368" spans="1:31" x14ac:dyDescent="0.2">
      <c r="A368" s="141" t="s">
        <v>277</v>
      </c>
      <c r="B368" s="9">
        <v>0</v>
      </c>
      <c r="C368" s="9">
        <v>0</v>
      </c>
      <c r="D368" s="9" t="s">
        <v>495</v>
      </c>
      <c r="E368" s="9"/>
      <c r="F368" s="9">
        <v>0</v>
      </c>
      <c r="G368" s="4">
        <v>13350</v>
      </c>
      <c r="H368" s="4">
        <f t="shared" si="45"/>
        <v>5000</v>
      </c>
      <c r="I368" s="24">
        <f t="shared" si="46"/>
        <v>0.3745</v>
      </c>
      <c r="J368" s="23">
        <v>0</v>
      </c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7" t="s">
        <v>757</v>
      </c>
      <c r="W368" s="23">
        <f t="shared" si="47"/>
        <v>8350</v>
      </c>
      <c r="X368" s="7"/>
      <c r="Y368" s="4"/>
      <c r="Z368" s="7"/>
      <c r="AA368" s="175">
        <v>5000</v>
      </c>
      <c r="AB368" s="82"/>
      <c r="AC368" s="82"/>
      <c r="AD368" s="23"/>
      <c r="AE368" s="7" t="s">
        <v>471</v>
      </c>
    </row>
    <row r="369" spans="1:31" x14ac:dyDescent="0.2">
      <c r="A369" s="141" t="s">
        <v>278</v>
      </c>
      <c r="B369" s="9" t="s">
        <v>495</v>
      </c>
      <c r="C369" s="9" t="s">
        <v>495</v>
      </c>
      <c r="D369" s="9" t="s">
        <v>495</v>
      </c>
      <c r="E369" s="9"/>
      <c r="F369" s="9" t="s">
        <v>495</v>
      </c>
      <c r="G369" s="4">
        <v>128728</v>
      </c>
      <c r="H369" s="4">
        <f t="shared" si="45"/>
        <v>128728.00000000001</v>
      </c>
      <c r="I369" s="24">
        <f t="shared" si="46"/>
        <v>1</v>
      </c>
      <c r="J369" s="23">
        <v>10727.37</v>
      </c>
      <c r="K369" s="23">
        <v>10727.33</v>
      </c>
      <c r="L369" s="23">
        <v>10727.33</v>
      </c>
      <c r="M369" s="23">
        <v>10727.33</v>
      </c>
      <c r="N369" s="23">
        <v>10727.33</v>
      </c>
      <c r="O369" s="23">
        <v>10727.33</v>
      </c>
      <c r="P369" s="23">
        <v>10727.33</v>
      </c>
      <c r="Q369" s="23">
        <v>10727.33</v>
      </c>
      <c r="R369" s="23">
        <v>10727.33</v>
      </c>
      <c r="S369" s="23">
        <v>10727.33</v>
      </c>
      <c r="T369" s="23">
        <v>10727.33</v>
      </c>
      <c r="U369" s="23">
        <v>10727.33</v>
      </c>
      <c r="V369" s="7" t="s">
        <v>758</v>
      </c>
      <c r="W369" s="23">
        <f t="shared" si="47"/>
        <v>0</v>
      </c>
      <c r="X369" s="7"/>
      <c r="Y369" s="4"/>
      <c r="Z369" s="7"/>
      <c r="AA369" s="82"/>
      <c r="AB369" s="82"/>
      <c r="AC369" s="82"/>
      <c r="AD369" s="23"/>
      <c r="AE369" s="7" t="s">
        <v>466</v>
      </c>
    </row>
    <row r="370" spans="1:31" x14ac:dyDescent="0.2">
      <c r="A370" s="141" t="s">
        <v>279</v>
      </c>
      <c r="B370" s="9" t="s">
        <v>495</v>
      </c>
      <c r="C370" s="9" t="s">
        <v>495</v>
      </c>
      <c r="D370" s="9">
        <v>0</v>
      </c>
      <c r="E370" s="9"/>
      <c r="F370" s="9">
        <v>0</v>
      </c>
      <c r="G370" s="4">
        <v>19898</v>
      </c>
      <c r="H370" s="4">
        <f t="shared" si="45"/>
        <v>19898</v>
      </c>
      <c r="I370" s="24">
        <f t="shared" si="46"/>
        <v>1</v>
      </c>
      <c r="J370" s="23">
        <v>0</v>
      </c>
      <c r="K370" s="23"/>
      <c r="L370" s="23"/>
      <c r="M370" s="23">
        <v>2500</v>
      </c>
      <c r="N370" s="23"/>
      <c r="O370" s="23"/>
      <c r="P370" s="23">
        <v>2500</v>
      </c>
      <c r="Q370" s="23"/>
      <c r="R370" s="23"/>
      <c r="S370" s="23">
        <v>5000</v>
      </c>
      <c r="T370" s="23">
        <v>4500</v>
      </c>
      <c r="U370" s="23">
        <v>5398</v>
      </c>
      <c r="V370" s="7" t="s">
        <v>759</v>
      </c>
      <c r="W370" s="23">
        <f t="shared" si="47"/>
        <v>0</v>
      </c>
      <c r="X370" s="7"/>
      <c r="Y370" s="4"/>
      <c r="Z370" s="7"/>
      <c r="AA370" s="82"/>
      <c r="AB370" s="82"/>
      <c r="AC370" s="82"/>
      <c r="AD370" s="23"/>
      <c r="AE370" s="7" t="s">
        <v>467</v>
      </c>
    </row>
    <row r="371" spans="1:31" x14ac:dyDescent="0.2">
      <c r="A371" s="141" t="s">
        <v>280</v>
      </c>
      <c r="B371" s="9" t="s">
        <v>495</v>
      </c>
      <c r="C371" s="9" t="s">
        <v>495</v>
      </c>
      <c r="D371" s="9" t="s">
        <v>495</v>
      </c>
      <c r="E371" s="9"/>
      <c r="F371" s="9">
        <v>0</v>
      </c>
      <c r="G371" s="4">
        <v>7219</v>
      </c>
      <c r="H371" s="4">
        <f t="shared" si="45"/>
        <v>7219</v>
      </c>
      <c r="I371" s="24">
        <f t="shared" si="46"/>
        <v>1</v>
      </c>
      <c r="J371" s="23">
        <v>0</v>
      </c>
      <c r="K371" s="23"/>
      <c r="L371" s="23"/>
      <c r="M371" s="23">
        <v>3500</v>
      </c>
      <c r="N371" s="23"/>
      <c r="O371" s="23"/>
      <c r="P371" s="23"/>
      <c r="Q371" s="23"/>
      <c r="R371" s="23"/>
      <c r="S371" s="23">
        <v>3719</v>
      </c>
      <c r="T371" s="23"/>
      <c r="U371" s="23"/>
      <c r="V371" s="7" t="s">
        <v>760</v>
      </c>
      <c r="W371" s="23">
        <f t="shared" si="47"/>
        <v>0</v>
      </c>
      <c r="X371" s="7"/>
      <c r="Y371" s="4"/>
      <c r="Z371" s="7"/>
      <c r="AA371" s="82"/>
      <c r="AB371" s="82"/>
      <c r="AC371" s="82"/>
      <c r="AD371" s="23"/>
      <c r="AE371" s="7" t="s">
        <v>467</v>
      </c>
    </row>
    <row r="372" spans="1:31" x14ac:dyDescent="0.2">
      <c r="A372" s="141" t="s">
        <v>281</v>
      </c>
      <c r="B372" s="9" t="s">
        <v>495</v>
      </c>
      <c r="C372" s="9" t="s">
        <v>495</v>
      </c>
      <c r="D372" s="9">
        <v>0</v>
      </c>
      <c r="E372" s="9"/>
      <c r="F372" s="9" t="s">
        <v>495</v>
      </c>
      <c r="G372" s="4">
        <v>5013</v>
      </c>
      <c r="H372" s="4">
        <f t="shared" si="45"/>
        <v>4013</v>
      </c>
      <c r="I372" s="24">
        <f t="shared" si="46"/>
        <v>0.80049999999999999</v>
      </c>
      <c r="J372" s="23">
        <v>60</v>
      </c>
      <c r="K372" s="23">
        <v>200</v>
      </c>
      <c r="L372" s="23">
        <v>200</v>
      </c>
      <c r="M372" s="23">
        <v>200</v>
      </c>
      <c r="N372" s="23">
        <v>200</v>
      </c>
      <c r="O372" s="23">
        <v>200</v>
      </c>
      <c r="P372" s="23">
        <v>200</v>
      </c>
      <c r="Q372" s="23">
        <v>200</v>
      </c>
      <c r="R372" s="23">
        <v>200</v>
      </c>
      <c r="S372" s="23">
        <v>200</v>
      </c>
      <c r="T372" s="23">
        <v>200</v>
      </c>
      <c r="U372" s="23">
        <v>1953</v>
      </c>
      <c r="V372" s="7" t="s">
        <v>761</v>
      </c>
      <c r="W372" s="23">
        <f t="shared" si="47"/>
        <v>1000</v>
      </c>
      <c r="X372" s="7"/>
      <c r="Y372" s="4"/>
      <c r="Z372" s="7"/>
      <c r="AA372" s="82"/>
      <c r="AB372" s="82"/>
      <c r="AC372" s="82"/>
      <c r="AD372" s="23"/>
      <c r="AE372" s="7" t="s">
        <v>467</v>
      </c>
    </row>
    <row r="373" spans="1:31" x14ac:dyDescent="0.2">
      <c r="A373" s="141" t="s">
        <v>282</v>
      </c>
      <c r="B373" s="9" t="s">
        <v>495</v>
      </c>
      <c r="C373" s="9">
        <v>0</v>
      </c>
      <c r="D373" s="9">
        <v>0</v>
      </c>
      <c r="E373" s="9"/>
      <c r="F373" s="9">
        <v>0</v>
      </c>
      <c r="G373" s="4">
        <v>6336</v>
      </c>
      <c r="H373" s="4">
        <f t="shared" si="45"/>
        <v>6300</v>
      </c>
      <c r="I373" s="24">
        <f t="shared" si="46"/>
        <v>0.99429999999999996</v>
      </c>
      <c r="J373" s="23">
        <v>0</v>
      </c>
      <c r="K373" s="23"/>
      <c r="L373" s="23"/>
      <c r="M373" s="23"/>
      <c r="N373" s="23"/>
      <c r="O373" s="23">
        <v>800</v>
      </c>
      <c r="P373" s="23"/>
      <c r="Q373" s="23"/>
      <c r="R373" s="23"/>
      <c r="S373" s="23"/>
      <c r="T373" s="23">
        <v>1000</v>
      </c>
      <c r="U373" s="23"/>
      <c r="V373" s="7" t="s">
        <v>762</v>
      </c>
      <c r="W373" s="23">
        <f t="shared" si="47"/>
        <v>36</v>
      </c>
      <c r="X373" s="7"/>
      <c r="Y373" s="4"/>
      <c r="Z373" s="7"/>
      <c r="AA373" s="82"/>
      <c r="AB373" s="82"/>
      <c r="AC373" s="175">
        <v>4500</v>
      </c>
      <c r="AD373" s="23"/>
      <c r="AE373" s="7" t="s">
        <v>468</v>
      </c>
    </row>
    <row r="374" spans="1:31" x14ac:dyDescent="0.2">
      <c r="A374" s="141" t="s">
        <v>283</v>
      </c>
      <c r="B374" s="9">
        <v>0</v>
      </c>
      <c r="C374" s="9" t="s">
        <v>495</v>
      </c>
      <c r="D374" s="9">
        <v>0</v>
      </c>
      <c r="E374" s="9"/>
      <c r="F374" s="9">
        <v>0</v>
      </c>
      <c r="G374" s="4">
        <v>6336</v>
      </c>
      <c r="H374" s="4">
        <f t="shared" si="45"/>
        <v>1056</v>
      </c>
      <c r="I374" s="24">
        <f t="shared" si="46"/>
        <v>0.16669999999999999</v>
      </c>
      <c r="J374" s="23">
        <v>0</v>
      </c>
      <c r="K374" s="23"/>
      <c r="L374" s="23"/>
      <c r="M374" s="23"/>
      <c r="N374" s="23">
        <v>1056</v>
      </c>
      <c r="O374" s="23"/>
      <c r="P374" s="23"/>
      <c r="Q374" s="23"/>
      <c r="R374" s="23"/>
      <c r="S374" s="23"/>
      <c r="T374" s="23"/>
      <c r="U374" s="23"/>
      <c r="V374" s="7" t="s">
        <v>763</v>
      </c>
      <c r="W374" s="23">
        <f t="shared" si="47"/>
        <v>5280</v>
      </c>
      <c r="X374" s="7"/>
      <c r="Y374" s="4"/>
      <c r="Z374" s="7"/>
      <c r="AA374" s="82"/>
      <c r="AB374" s="82"/>
      <c r="AC374" s="82"/>
      <c r="AD374" s="23"/>
      <c r="AE374" s="7" t="s">
        <v>468</v>
      </c>
    </row>
    <row r="375" spans="1:31" x14ac:dyDescent="0.2">
      <c r="A375" s="141" t="s">
        <v>284</v>
      </c>
      <c r="B375" s="9" t="s">
        <v>495</v>
      </c>
      <c r="C375" s="9" t="s">
        <v>495</v>
      </c>
      <c r="D375" s="9">
        <v>0</v>
      </c>
      <c r="E375" s="9"/>
      <c r="F375" s="9">
        <v>0</v>
      </c>
      <c r="G375" s="4">
        <v>10722</v>
      </c>
      <c r="H375" s="4">
        <f t="shared" si="45"/>
        <v>10722</v>
      </c>
      <c r="I375" s="24">
        <f t="shared" si="46"/>
        <v>1</v>
      </c>
      <c r="J375" s="23">
        <v>0</v>
      </c>
      <c r="K375" s="23"/>
      <c r="L375" s="23"/>
      <c r="M375" s="23"/>
      <c r="N375" s="23"/>
      <c r="O375" s="23"/>
      <c r="P375" s="23"/>
      <c r="Q375" s="23"/>
      <c r="R375" s="23"/>
      <c r="S375" s="23">
        <v>10722</v>
      </c>
      <c r="T375" s="23"/>
      <c r="U375" s="23"/>
      <c r="V375" s="7" t="s">
        <v>764</v>
      </c>
      <c r="W375" s="23">
        <f t="shared" si="47"/>
        <v>0</v>
      </c>
      <c r="X375" s="7"/>
      <c r="Y375" s="4"/>
      <c r="Z375" s="7"/>
      <c r="AA375" s="82"/>
      <c r="AB375" s="82"/>
      <c r="AC375" s="82"/>
      <c r="AD375" s="23"/>
      <c r="AE375" s="7" t="s">
        <v>468</v>
      </c>
    </row>
    <row r="376" spans="1:31" x14ac:dyDescent="0.2">
      <c r="A376" s="141" t="s">
        <v>285</v>
      </c>
      <c r="B376" s="9">
        <v>0</v>
      </c>
      <c r="C376" s="9">
        <v>0</v>
      </c>
      <c r="D376" s="9">
        <v>0</v>
      </c>
      <c r="E376" s="9"/>
      <c r="F376" s="9" t="s">
        <v>495</v>
      </c>
      <c r="G376" s="4">
        <v>19005</v>
      </c>
      <c r="H376" s="4">
        <f t="shared" si="45"/>
        <v>14205</v>
      </c>
      <c r="I376" s="24">
        <f t="shared" si="46"/>
        <v>0.74739999999999995</v>
      </c>
      <c r="J376" s="23">
        <v>1500</v>
      </c>
      <c r="K376" s="23">
        <v>1500</v>
      </c>
      <c r="L376" s="23">
        <v>1605</v>
      </c>
      <c r="M376" s="23">
        <v>1600</v>
      </c>
      <c r="N376" s="23">
        <v>1600</v>
      </c>
      <c r="O376" s="23">
        <v>1600</v>
      </c>
      <c r="P376" s="23">
        <v>1600</v>
      </c>
      <c r="Q376" s="23"/>
      <c r="R376" s="23"/>
      <c r="S376" s="23">
        <v>1600</v>
      </c>
      <c r="T376" s="23">
        <v>1600</v>
      </c>
      <c r="U376" s="23"/>
      <c r="V376" s="7" t="s">
        <v>765</v>
      </c>
      <c r="W376" s="23">
        <f t="shared" si="47"/>
        <v>4800</v>
      </c>
      <c r="X376" s="7"/>
      <c r="Y376" s="4"/>
      <c r="Z376" s="7"/>
      <c r="AA376" s="82"/>
      <c r="AB376" s="82"/>
      <c r="AC376" s="82"/>
      <c r="AD376" s="23"/>
      <c r="AE376" s="7" t="s">
        <v>468</v>
      </c>
    </row>
    <row r="377" spans="1:31" x14ac:dyDescent="0.2">
      <c r="A377" s="141" t="s">
        <v>286</v>
      </c>
      <c r="B377" s="9">
        <v>0</v>
      </c>
      <c r="C377" s="9">
        <v>0</v>
      </c>
      <c r="D377" s="9">
        <v>0</v>
      </c>
      <c r="E377" s="9"/>
      <c r="F377" s="9" t="s">
        <v>495</v>
      </c>
      <c r="G377" s="4">
        <v>1456</v>
      </c>
      <c r="H377" s="4">
        <f t="shared" si="45"/>
        <v>1456.05</v>
      </c>
      <c r="I377" s="24">
        <f t="shared" si="46"/>
        <v>1</v>
      </c>
      <c r="J377" s="23">
        <v>20</v>
      </c>
      <c r="K377" s="23">
        <v>20</v>
      </c>
      <c r="L377" s="23">
        <v>20</v>
      </c>
      <c r="M377" s="23">
        <v>220</v>
      </c>
      <c r="N377" s="23">
        <v>20</v>
      </c>
      <c r="O377" s="23">
        <v>20</v>
      </c>
      <c r="P377" s="23">
        <v>20</v>
      </c>
      <c r="Q377" s="23">
        <v>20</v>
      </c>
      <c r="R377" s="23">
        <v>20</v>
      </c>
      <c r="S377" s="23">
        <v>220</v>
      </c>
      <c r="T377" s="23">
        <v>20</v>
      </c>
      <c r="U377" s="23">
        <v>836.05</v>
      </c>
      <c r="V377" s="7" t="s">
        <v>766</v>
      </c>
      <c r="W377" s="23">
        <f t="shared" si="47"/>
        <v>-4.9999999999954525E-2</v>
      </c>
      <c r="X377" s="7"/>
      <c r="Y377" s="4"/>
      <c r="Z377" s="7"/>
      <c r="AA377" s="82"/>
      <c r="AB377" s="82"/>
      <c r="AC377" s="82"/>
      <c r="AD377" s="23"/>
      <c r="AE377" s="7" t="s">
        <v>465</v>
      </c>
    </row>
    <row r="378" spans="1:31" x14ac:dyDescent="0.2">
      <c r="A378" s="141" t="s">
        <v>287</v>
      </c>
      <c r="B378" s="9" t="s">
        <v>495</v>
      </c>
      <c r="C378" s="9" t="s">
        <v>495</v>
      </c>
      <c r="D378" s="9" t="s">
        <v>495</v>
      </c>
      <c r="E378" s="9"/>
      <c r="F378" s="9" t="s">
        <v>495</v>
      </c>
      <c r="G378" s="4">
        <v>19414</v>
      </c>
      <c r="H378" s="4">
        <f t="shared" si="45"/>
        <v>19414</v>
      </c>
      <c r="I378" s="24">
        <f t="shared" si="46"/>
        <v>1</v>
      </c>
      <c r="J378" s="23">
        <v>1617.87</v>
      </c>
      <c r="K378" s="23">
        <v>1617.83</v>
      </c>
      <c r="L378" s="23">
        <v>1617.83</v>
      </c>
      <c r="M378" s="23">
        <v>1617.83</v>
      </c>
      <c r="N378" s="23">
        <v>1617.83</v>
      </c>
      <c r="O378" s="23">
        <v>1617.83</v>
      </c>
      <c r="P378" s="23">
        <v>1617.83</v>
      </c>
      <c r="Q378" s="23">
        <v>1617.83</v>
      </c>
      <c r="R378" s="23">
        <v>1617.83</v>
      </c>
      <c r="S378" s="23">
        <v>1617.83</v>
      </c>
      <c r="T378" s="23">
        <v>1617.83</v>
      </c>
      <c r="U378" s="23">
        <v>1617.83</v>
      </c>
      <c r="V378" s="7" t="s">
        <v>767</v>
      </c>
      <c r="W378" s="23">
        <f t="shared" si="47"/>
        <v>0</v>
      </c>
      <c r="X378" s="7"/>
      <c r="Y378" s="4"/>
      <c r="Z378" s="7"/>
      <c r="AA378" s="82"/>
      <c r="AB378" s="82"/>
      <c r="AC378" s="82"/>
      <c r="AD378" s="23"/>
      <c r="AE378" s="7" t="s">
        <v>465</v>
      </c>
    </row>
    <row r="379" spans="1:31" x14ac:dyDescent="0.2">
      <c r="A379" s="141" t="s">
        <v>288</v>
      </c>
      <c r="B379" s="9">
        <v>0</v>
      </c>
      <c r="C379" s="9" t="s">
        <v>495</v>
      </c>
      <c r="D379" s="9" t="s">
        <v>495</v>
      </c>
      <c r="E379" s="9"/>
      <c r="F379" s="9">
        <v>0</v>
      </c>
      <c r="G379" s="4">
        <v>9300</v>
      </c>
      <c r="H379" s="4">
        <f t="shared" si="45"/>
        <v>4500</v>
      </c>
      <c r="I379" s="24">
        <f t="shared" si="46"/>
        <v>0.4839</v>
      </c>
      <c r="J379" s="23">
        <v>0</v>
      </c>
      <c r="K379" s="23">
        <v>3500</v>
      </c>
      <c r="L379" s="23"/>
      <c r="M379" s="23"/>
      <c r="N379" s="23"/>
      <c r="O379" s="23"/>
      <c r="P379" s="23"/>
      <c r="Q379" s="23"/>
      <c r="R379" s="23"/>
      <c r="S379" s="23"/>
      <c r="T379" s="23">
        <v>1000</v>
      </c>
      <c r="U379" s="23"/>
      <c r="V379" s="7" t="s">
        <v>768</v>
      </c>
      <c r="W379" s="23">
        <f t="shared" si="47"/>
        <v>4800</v>
      </c>
      <c r="X379" s="7"/>
      <c r="Y379" s="4"/>
      <c r="Z379" s="7"/>
      <c r="AA379" s="82"/>
      <c r="AB379" s="82"/>
      <c r="AC379" s="82"/>
      <c r="AD379" s="23"/>
      <c r="AE379" s="7" t="s">
        <v>471</v>
      </c>
    </row>
    <row r="380" spans="1:31" x14ac:dyDescent="0.2">
      <c r="A380" s="141" t="s">
        <v>289</v>
      </c>
      <c r="B380" s="9" t="s">
        <v>495</v>
      </c>
      <c r="C380" s="9" t="s">
        <v>495</v>
      </c>
      <c r="D380" s="9" t="s">
        <v>495</v>
      </c>
      <c r="E380" s="9"/>
      <c r="F380" s="9" t="s">
        <v>495</v>
      </c>
      <c r="G380" s="4">
        <v>12829</v>
      </c>
      <c r="H380" s="4">
        <f t="shared" si="45"/>
        <v>9400</v>
      </c>
      <c r="I380" s="24">
        <f t="shared" si="46"/>
        <v>0.73270000000000002</v>
      </c>
      <c r="J380" s="23">
        <v>500</v>
      </c>
      <c r="K380" s="23">
        <v>500</v>
      </c>
      <c r="L380" s="23">
        <v>500</v>
      </c>
      <c r="M380" s="23">
        <v>500</v>
      </c>
      <c r="N380" s="23">
        <v>500</v>
      </c>
      <c r="O380" s="23">
        <v>500</v>
      </c>
      <c r="P380" s="23">
        <v>500</v>
      </c>
      <c r="Q380" s="23">
        <v>500</v>
      </c>
      <c r="R380" s="23">
        <v>500</v>
      </c>
      <c r="S380" s="23">
        <v>500</v>
      </c>
      <c r="T380" s="23">
        <v>3900</v>
      </c>
      <c r="U380" s="23">
        <v>500</v>
      </c>
      <c r="V380" s="7" t="s">
        <v>769</v>
      </c>
      <c r="W380" s="23">
        <f t="shared" si="47"/>
        <v>3429</v>
      </c>
      <c r="X380" s="7"/>
      <c r="Y380" s="4"/>
      <c r="Z380" s="7"/>
      <c r="AA380" s="82"/>
      <c r="AB380" s="82"/>
      <c r="AC380" s="82"/>
      <c r="AD380" s="23"/>
      <c r="AE380" s="7" t="s">
        <v>469</v>
      </c>
    </row>
    <row r="381" spans="1:31" x14ac:dyDescent="0.2">
      <c r="A381" s="141" t="s">
        <v>290</v>
      </c>
      <c r="B381" s="9">
        <v>0</v>
      </c>
      <c r="C381" s="9" t="s">
        <v>495</v>
      </c>
      <c r="D381" s="9" t="s">
        <v>495</v>
      </c>
      <c r="E381" s="9"/>
      <c r="F381" s="9">
        <v>0</v>
      </c>
      <c r="G381" s="4">
        <v>12189</v>
      </c>
      <c r="H381" s="4">
        <f t="shared" si="45"/>
        <v>9000</v>
      </c>
      <c r="I381" s="24">
        <f t="shared" si="46"/>
        <v>0.73839999999999995</v>
      </c>
      <c r="J381" s="23">
        <v>0</v>
      </c>
      <c r="K381" s="23"/>
      <c r="L381" s="23"/>
      <c r="M381" s="23"/>
      <c r="N381" s="23"/>
      <c r="O381" s="23">
        <v>2000</v>
      </c>
      <c r="P381" s="23">
        <v>1000</v>
      </c>
      <c r="Q381" s="23"/>
      <c r="R381" s="23"/>
      <c r="S381" s="23"/>
      <c r="T381" s="23"/>
      <c r="U381" s="23">
        <v>6000</v>
      </c>
      <c r="V381" s="7" t="s">
        <v>770</v>
      </c>
      <c r="W381" s="23">
        <f t="shared" si="47"/>
        <v>3189</v>
      </c>
      <c r="X381" s="7"/>
      <c r="Y381" s="4"/>
      <c r="Z381" s="7"/>
      <c r="AA381" s="82"/>
      <c r="AB381" s="82"/>
      <c r="AC381" s="82"/>
      <c r="AD381" s="23"/>
      <c r="AE381" s="7" t="s">
        <v>469</v>
      </c>
    </row>
    <row r="382" spans="1:31" x14ac:dyDescent="0.2">
      <c r="A382" s="141" t="s">
        <v>291</v>
      </c>
      <c r="B382" s="9" t="s">
        <v>495</v>
      </c>
      <c r="C382" s="9" t="s">
        <v>495</v>
      </c>
      <c r="D382" s="9" t="s">
        <v>495</v>
      </c>
      <c r="E382" s="9"/>
      <c r="F382" s="9">
        <v>0</v>
      </c>
      <c r="G382" s="4">
        <v>47933</v>
      </c>
      <c r="H382" s="4">
        <f t="shared" si="45"/>
        <v>39210</v>
      </c>
      <c r="I382" s="24">
        <f t="shared" si="46"/>
        <v>0.81799999999999995</v>
      </c>
      <c r="J382" s="23">
        <v>0</v>
      </c>
      <c r="K382" s="23"/>
      <c r="L382" s="23"/>
      <c r="M382" s="23"/>
      <c r="N382" s="23">
        <v>5000</v>
      </c>
      <c r="O382" s="23">
        <v>4000</v>
      </c>
      <c r="P382" s="23">
        <v>8000</v>
      </c>
      <c r="Q382" s="23">
        <v>4000</v>
      </c>
      <c r="R382" s="23"/>
      <c r="S382" s="23">
        <v>8000</v>
      </c>
      <c r="T382" s="23"/>
      <c r="U382" s="23">
        <v>10210</v>
      </c>
      <c r="V382" s="7" t="s">
        <v>771</v>
      </c>
      <c r="W382" s="23">
        <f t="shared" si="47"/>
        <v>8723</v>
      </c>
      <c r="X382" s="7"/>
      <c r="Y382" s="4"/>
      <c r="Z382" s="7"/>
      <c r="AA382" s="82"/>
      <c r="AB382" s="82"/>
      <c r="AC382" s="82"/>
      <c r="AD382" s="23"/>
      <c r="AE382" s="7" t="s">
        <v>469</v>
      </c>
    </row>
    <row r="383" spans="1:31" x14ac:dyDescent="0.2">
      <c r="A383" s="141" t="s">
        <v>292</v>
      </c>
      <c r="B383" s="9" t="s">
        <v>495</v>
      </c>
      <c r="C383" s="9" t="s">
        <v>495</v>
      </c>
      <c r="D383" s="9">
        <v>0</v>
      </c>
      <c r="E383" s="9"/>
      <c r="F383" s="9">
        <v>0</v>
      </c>
      <c r="G383" s="4">
        <v>4273</v>
      </c>
      <c r="H383" s="4">
        <f t="shared" si="45"/>
        <v>4231</v>
      </c>
      <c r="I383" s="24">
        <f t="shared" si="46"/>
        <v>0.99019999999999997</v>
      </c>
      <c r="J383" s="23">
        <v>0</v>
      </c>
      <c r="K383" s="23"/>
      <c r="L383" s="23"/>
      <c r="M383" s="23"/>
      <c r="N383" s="23"/>
      <c r="O383" s="23"/>
      <c r="P383" s="23">
        <v>3204.75</v>
      </c>
      <c r="Q383" s="23"/>
      <c r="R383" s="23"/>
      <c r="S383" s="23"/>
      <c r="T383" s="23"/>
      <c r="U383" s="23">
        <v>1026.25</v>
      </c>
      <c r="V383" s="7" t="s">
        <v>772</v>
      </c>
      <c r="W383" s="23">
        <f t="shared" si="47"/>
        <v>42</v>
      </c>
      <c r="X383" s="7"/>
      <c r="Y383" s="4"/>
      <c r="Z383" s="7"/>
      <c r="AA383" s="82"/>
      <c r="AB383" s="82"/>
      <c r="AC383" s="82"/>
      <c r="AD383" s="23"/>
      <c r="AE383" s="7" t="s">
        <v>470</v>
      </c>
    </row>
    <row r="384" spans="1:31" x14ac:dyDescent="0.2">
      <c r="A384" s="141" t="s">
        <v>293</v>
      </c>
      <c r="B384" s="9" t="s">
        <v>495</v>
      </c>
      <c r="C384" s="9">
        <v>0</v>
      </c>
      <c r="D384" s="9">
        <v>0</v>
      </c>
      <c r="E384" s="9"/>
      <c r="F384" s="9">
        <v>0</v>
      </c>
      <c r="G384" s="4">
        <v>2682</v>
      </c>
      <c r="H384" s="4">
        <f t="shared" si="45"/>
        <v>1400</v>
      </c>
      <c r="I384" s="24">
        <f t="shared" si="46"/>
        <v>0.52200000000000002</v>
      </c>
      <c r="J384" s="23">
        <v>0</v>
      </c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>
        <v>1400</v>
      </c>
      <c r="V384" s="7" t="s">
        <v>773</v>
      </c>
      <c r="W384" s="23">
        <f t="shared" si="47"/>
        <v>1282</v>
      </c>
      <c r="X384" s="7"/>
      <c r="Y384" s="4"/>
      <c r="Z384" s="7"/>
      <c r="AA384" s="82"/>
      <c r="AB384" s="82"/>
      <c r="AC384" s="82"/>
      <c r="AD384" s="23"/>
      <c r="AE384" s="7" t="s">
        <v>470</v>
      </c>
    </row>
    <row r="385" spans="1:34" x14ac:dyDescent="0.2">
      <c r="A385" s="141" t="s">
        <v>294</v>
      </c>
      <c r="B385" s="9" t="s">
        <v>495</v>
      </c>
      <c r="C385" s="9" t="s">
        <v>495</v>
      </c>
      <c r="D385" s="9">
        <v>0</v>
      </c>
      <c r="E385" s="9"/>
      <c r="F385" s="9" t="s">
        <v>495</v>
      </c>
      <c r="G385" s="4">
        <v>45011</v>
      </c>
      <c r="H385" s="4">
        <f t="shared" si="45"/>
        <v>45011.000000000015</v>
      </c>
      <c r="I385" s="24">
        <f t="shared" si="46"/>
        <v>1</v>
      </c>
      <c r="J385" s="23">
        <v>3663.86</v>
      </c>
      <c r="K385" s="23">
        <v>3758.84</v>
      </c>
      <c r="L385" s="23">
        <v>3758.83</v>
      </c>
      <c r="M385" s="23">
        <v>3758.83</v>
      </c>
      <c r="N385" s="23">
        <v>3758.83</v>
      </c>
      <c r="O385" s="23">
        <v>3758.83</v>
      </c>
      <c r="P385" s="23">
        <v>3758.83</v>
      </c>
      <c r="Q385" s="23">
        <v>3758.83</v>
      </c>
      <c r="R385" s="23">
        <v>3758.83</v>
      </c>
      <c r="S385" s="23">
        <v>3758.83</v>
      </c>
      <c r="T385" s="23">
        <v>3758.83</v>
      </c>
      <c r="U385" s="23">
        <v>3758.83</v>
      </c>
      <c r="V385" s="7" t="s">
        <v>774</v>
      </c>
      <c r="W385" s="23">
        <f t="shared" si="47"/>
        <v>0</v>
      </c>
      <c r="X385" s="7"/>
      <c r="Y385" s="4"/>
      <c r="Z385" s="7"/>
      <c r="AA385" s="82"/>
      <c r="AB385" s="82"/>
      <c r="AC385" s="82"/>
      <c r="AD385" s="23"/>
      <c r="AE385" s="7" t="s">
        <v>470</v>
      </c>
    </row>
    <row r="386" spans="1:34" x14ac:dyDescent="0.2">
      <c r="A386" s="141" t="s">
        <v>295</v>
      </c>
      <c r="B386" s="9">
        <v>0</v>
      </c>
      <c r="C386" s="9" t="s">
        <v>495</v>
      </c>
      <c r="D386" s="9" t="s">
        <v>495</v>
      </c>
      <c r="E386" s="9"/>
      <c r="F386" s="9">
        <v>0</v>
      </c>
      <c r="G386" s="4">
        <v>17700</v>
      </c>
      <c r="H386" s="4">
        <f t="shared" si="45"/>
        <v>12750</v>
      </c>
      <c r="I386" s="24">
        <f t="shared" si="46"/>
        <v>0.72030000000000005</v>
      </c>
      <c r="J386" s="23">
        <v>0</v>
      </c>
      <c r="K386" s="23">
        <v>2150</v>
      </c>
      <c r="L386" s="23"/>
      <c r="M386" s="23">
        <v>3000</v>
      </c>
      <c r="N386" s="23"/>
      <c r="O386" s="23"/>
      <c r="P386" s="23"/>
      <c r="Q386" s="23"/>
      <c r="R386" s="23"/>
      <c r="S386" s="23">
        <v>5000</v>
      </c>
      <c r="T386" s="23"/>
      <c r="U386" s="23">
        <v>2600</v>
      </c>
      <c r="V386" s="7" t="s">
        <v>775</v>
      </c>
      <c r="W386" s="23">
        <f t="shared" si="47"/>
        <v>4950</v>
      </c>
      <c r="X386" s="7"/>
      <c r="Y386" s="4"/>
      <c r="Z386" s="7"/>
      <c r="AA386" s="82"/>
      <c r="AB386" s="82"/>
      <c r="AC386" s="82"/>
      <c r="AD386" s="23"/>
      <c r="AE386" s="7" t="s">
        <v>471</v>
      </c>
    </row>
    <row r="387" spans="1:34" s="6" customFormat="1" x14ac:dyDescent="0.2">
      <c r="A387" s="144" t="s">
        <v>296</v>
      </c>
      <c r="B387" s="9" t="s">
        <v>495</v>
      </c>
      <c r="C387" s="9" t="s">
        <v>495</v>
      </c>
      <c r="D387" s="9">
        <v>0</v>
      </c>
      <c r="E387" s="9"/>
      <c r="F387" s="9">
        <v>0</v>
      </c>
      <c r="G387" s="4">
        <v>14496</v>
      </c>
      <c r="H387" s="4">
        <f t="shared" si="45"/>
        <v>14496</v>
      </c>
      <c r="I387" s="24">
        <f t="shared" si="46"/>
        <v>1</v>
      </c>
      <c r="J387" s="23">
        <v>0</v>
      </c>
      <c r="K387" s="23"/>
      <c r="L387" s="23">
        <v>3300</v>
      </c>
      <c r="M387" s="23"/>
      <c r="N387" s="23"/>
      <c r="O387" s="23"/>
      <c r="P387" s="23">
        <v>3624</v>
      </c>
      <c r="Q387" s="23"/>
      <c r="R387" s="23"/>
      <c r="S387" s="23">
        <v>3786</v>
      </c>
      <c r="T387" s="23"/>
      <c r="U387" s="23">
        <v>3786</v>
      </c>
      <c r="V387" s="7" t="s">
        <v>776</v>
      </c>
      <c r="W387" s="23">
        <f t="shared" si="47"/>
        <v>0</v>
      </c>
      <c r="X387" s="7"/>
      <c r="Y387" s="4"/>
      <c r="Z387" s="7"/>
      <c r="AA387" s="82"/>
      <c r="AB387" s="82"/>
      <c r="AC387" s="82"/>
      <c r="AD387" s="23"/>
      <c r="AE387" s="10" t="s">
        <v>470</v>
      </c>
    </row>
    <row r="388" spans="1:34" s="6" customFormat="1" x14ac:dyDescent="0.2">
      <c r="A388" s="144" t="s">
        <v>297</v>
      </c>
      <c r="B388" s="9" t="s">
        <v>495</v>
      </c>
      <c r="C388" s="9">
        <v>0</v>
      </c>
      <c r="D388" s="9">
        <v>0</v>
      </c>
      <c r="E388" s="9"/>
      <c r="F388" s="9">
        <v>0</v>
      </c>
      <c r="G388" s="4">
        <v>5539</v>
      </c>
      <c r="H388" s="4">
        <f t="shared" si="45"/>
        <v>3157</v>
      </c>
      <c r="I388" s="24">
        <f t="shared" si="46"/>
        <v>0.56999999999999995</v>
      </c>
      <c r="J388" s="23">
        <v>0</v>
      </c>
      <c r="K388" s="23"/>
      <c r="L388" s="23"/>
      <c r="M388" s="23"/>
      <c r="N388" s="23"/>
      <c r="O388" s="23">
        <v>2500</v>
      </c>
      <c r="P388" s="23"/>
      <c r="Q388" s="23"/>
      <c r="R388" s="23"/>
      <c r="S388" s="23"/>
      <c r="T388" s="23"/>
      <c r="U388" s="23">
        <v>657</v>
      </c>
      <c r="V388" s="7" t="s">
        <v>777</v>
      </c>
      <c r="W388" s="23">
        <f t="shared" si="47"/>
        <v>2382</v>
      </c>
      <c r="X388" s="7"/>
      <c r="Y388" s="4"/>
      <c r="Z388" s="7"/>
      <c r="AA388" s="82"/>
      <c r="AB388" s="82"/>
      <c r="AC388" s="82"/>
      <c r="AD388" s="23"/>
      <c r="AE388" s="10" t="s">
        <v>470</v>
      </c>
    </row>
    <row r="389" spans="1:34" x14ac:dyDescent="0.2">
      <c r="A389" s="141" t="s">
        <v>298</v>
      </c>
      <c r="B389" s="9">
        <v>0</v>
      </c>
      <c r="C389" s="9">
        <v>0</v>
      </c>
      <c r="D389" s="9">
        <v>0</v>
      </c>
      <c r="E389" s="9"/>
      <c r="F389" s="9">
        <v>0</v>
      </c>
      <c r="G389" s="4">
        <v>0</v>
      </c>
      <c r="H389" s="4">
        <f t="shared" si="45"/>
        <v>0</v>
      </c>
      <c r="I389" s="24" t="e">
        <f t="shared" si="46"/>
        <v>#DIV/0!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/>
      <c r="V389" s="7" t="s">
        <v>778</v>
      </c>
      <c r="W389" s="23">
        <f t="shared" si="47"/>
        <v>0</v>
      </c>
      <c r="X389" s="7"/>
      <c r="Y389" s="4"/>
      <c r="Z389" s="7"/>
      <c r="AA389" s="82"/>
      <c r="AB389" s="82"/>
      <c r="AC389" s="82"/>
      <c r="AD389" s="23"/>
    </row>
    <row r="390" spans="1:34" x14ac:dyDescent="0.2">
      <c r="W390" s="3"/>
    </row>
    <row r="391" spans="1:34" x14ac:dyDescent="0.2">
      <c r="A391" t="s">
        <v>6</v>
      </c>
      <c r="G391" s="17">
        <f>SUM(G355:G390)</f>
        <v>538613</v>
      </c>
      <c r="H391" s="11">
        <f>SUM(H355:H390)</f>
        <v>448478.05</v>
      </c>
      <c r="I391" s="4"/>
      <c r="J391" s="4">
        <f t="shared" ref="J391:U391" si="48">SUM(J355:J390)</f>
        <v>25673.22</v>
      </c>
      <c r="K391" s="4">
        <f t="shared" si="48"/>
        <v>30688.079999999998</v>
      </c>
      <c r="L391" s="4">
        <f t="shared" si="48"/>
        <v>37577.07</v>
      </c>
      <c r="M391" s="4">
        <f t="shared" si="48"/>
        <v>35255.07</v>
      </c>
      <c r="N391" s="4">
        <f t="shared" si="48"/>
        <v>28429.07</v>
      </c>
      <c r="O391" s="4">
        <f t="shared" si="48"/>
        <v>33524.07</v>
      </c>
      <c r="P391" s="4">
        <f t="shared" si="48"/>
        <v>42871.82</v>
      </c>
      <c r="Q391" s="4">
        <f t="shared" si="48"/>
        <v>23573.07</v>
      </c>
      <c r="R391" s="4">
        <f t="shared" si="48"/>
        <v>19573.07</v>
      </c>
      <c r="S391" s="4">
        <f t="shared" si="48"/>
        <v>67812.070000000007</v>
      </c>
      <c r="T391" s="4">
        <f t="shared" si="48"/>
        <v>36782.57</v>
      </c>
      <c r="U391" s="4">
        <f t="shared" si="48"/>
        <v>57218.87</v>
      </c>
      <c r="V391" s="77"/>
      <c r="W391" s="3">
        <f>G391-H391</f>
        <v>90134.950000000012</v>
      </c>
      <c r="X391" s="4"/>
      <c r="Y391" s="4"/>
      <c r="Z391" s="4"/>
      <c r="AA391" s="83">
        <f>SUM(AA355:AA390)</f>
        <v>5000</v>
      </c>
      <c r="AB391" s="83">
        <f t="shared" ref="AB391:AC391" si="49">SUM(AB355:AB390)</f>
        <v>0</v>
      </c>
      <c r="AC391" s="83">
        <f t="shared" si="49"/>
        <v>4500</v>
      </c>
      <c r="AH391" s="4">
        <f>ROUND(SUM(J391:U391),0)</f>
        <v>438978</v>
      </c>
    </row>
    <row r="392" spans="1:34" x14ac:dyDescent="0.2">
      <c r="W392" s="3"/>
    </row>
    <row r="393" spans="1:34" x14ac:dyDescent="0.2">
      <c r="W393" s="3"/>
    </row>
    <row r="394" spans="1:34" ht="15.75" x14ac:dyDescent="0.25">
      <c r="G394" s="150" t="s">
        <v>16</v>
      </c>
      <c r="W394" s="3"/>
    </row>
    <row r="395" spans="1:34" x14ac:dyDescent="0.2">
      <c r="W395" s="3"/>
    </row>
    <row r="396" spans="1:34" ht="16.5" x14ac:dyDescent="0.25">
      <c r="B396" s="8"/>
      <c r="C396" s="8"/>
      <c r="E396" s="8"/>
      <c r="F396" s="8"/>
      <c r="G396" s="20" t="str">
        <f>$G$3</f>
        <v>2020 PARISH SHARE INFORMATION</v>
      </c>
      <c r="H396" s="14"/>
      <c r="W396" s="3"/>
    </row>
    <row r="397" spans="1:34" x14ac:dyDescent="0.2">
      <c r="G397" s="19"/>
      <c r="H397" s="13"/>
      <c r="W397" s="3"/>
    </row>
    <row r="398" spans="1:34" ht="16.5" x14ac:dyDescent="0.25">
      <c r="A398" s="1" t="s">
        <v>1</v>
      </c>
      <c r="B398" s="151" t="str">
        <f>$B$5</f>
        <v>RM</v>
      </c>
      <c r="C398" s="151" t="str">
        <f>$C$5</f>
        <v>RF</v>
      </c>
      <c r="D398" s="151" t="str">
        <f>$D$5</f>
        <v>Accts</v>
      </c>
      <c r="E398" s="151"/>
      <c r="F398" s="151" t="str">
        <f>$F$5</f>
        <v>Share DD</v>
      </c>
      <c r="G398" s="153" t="str">
        <f>$G$5</f>
        <v xml:space="preserve">2020 Share </v>
      </c>
      <c r="H398" s="154" t="str">
        <f>$H$5</f>
        <v xml:space="preserve">2020 Paid </v>
      </c>
      <c r="I398" s="154" t="str">
        <f>$I$5</f>
        <v xml:space="preserve">% Paid </v>
      </c>
      <c r="J398" s="155">
        <f>$J$5</f>
        <v>43861</v>
      </c>
      <c r="K398" s="155">
        <f>$K$5</f>
        <v>43890</v>
      </c>
      <c r="L398" s="155">
        <f>$L$5</f>
        <v>43921</v>
      </c>
      <c r="M398" s="155">
        <f>$M$5</f>
        <v>43951</v>
      </c>
      <c r="N398" s="155">
        <f>$N$5</f>
        <v>43982</v>
      </c>
      <c r="O398" s="155">
        <f>$O$5</f>
        <v>44012</v>
      </c>
      <c r="P398" s="155">
        <f>$P$5</f>
        <v>44043</v>
      </c>
      <c r="Q398" s="155">
        <f>$Q$5</f>
        <v>44074</v>
      </c>
      <c r="R398" s="155">
        <f>$R$5</f>
        <v>44104</v>
      </c>
      <c r="S398" s="155">
        <f>$S$5</f>
        <v>44135</v>
      </c>
      <c r="T398" s="155">
        <f>$T$5</f>
        <v>44165</v>
      </c>
      <c r="U398" s="155">
        <f>$U$5</f>
        <v>44196</v>
      </c>
      <c r="V398" s="78"/>
      <c r="W398" s="157" t="str">
        <f>$W$5</f>
        <v xml:space="preserve">Outstanding </v>
      </c>
      <c r="X398" s="2"/>
      <c r="Y398" s="2"/>
      <c r="Z398" s="2"/>
      <c r="AA398" s="173">
        <v>44197</v>
      </c>
      <c r="AB398" s="173">
        <v>44228</v>
      </c>
      <c r="AC398" s="173">
        <v>44256</v>
      </c>
      <c r="AE398" s="152" t="str">
        <f>$AE$5</f>
        <v>Benefice</v>
      </c>
    </row>
    <row r="399" spans="1:34" ht="16.5" x14ac:dyDescent="0.25">
      <c r="G399" s="146" t="s">
        <v>1040</v>
      </c>
      <c r="H399" s="147" t="s">
        <v>1040</v>
      </c>
      <c r="I399" s="148"/>
      <c r="J399" s="147" t="s">
        <v>1040</v>
      </c>
      <c r="K399" s="147" t="s">
        <v>1040</v>
      </c>
      <c r="L399" s="147" t="s">
        <v>1040</v>
      </c>
      <c r="M399" s="147" t="s">
        <v>1040</v>
      </c>
      <c r="N399" s="147" t="s">
        <v>1040</v>
      </c>
      <c r="O399" s="147" t="s">
        <v>1040</v>
      </c>
      <c r="P399" s="147" t="s">
        <v>1040</v>
      </c>
      <c r="Q399" s="147" t="s">
        <v>1040</v>
      </c>
      <c r="R399" s="147" t="s">
        <v>1040</v>
      </c>
      <c r="S399" s="147" t="s">
        <v>1040</v>
      </c>
      <c r="T399" s="147" t="s">
        <v>1040</v>
      </c>
      <c r="U399" s="147" t="s">
        <v>1040</v>
      </c>
      <c r="W399" s="3"/>
      <c r="AA399" s="174" t="s">
        <v>1040</v>
      </c>
      <c r="AB399" s="174" t="s">
        <v>1040</v>
      </c>
      <c r="AC399" s="174" t="s">
        <v>1040</v>
      </c>
    </row>
    <row r="400" spans="1:34" x14ac:dyDescent="0.2">
      <c r="W400" s="3"/>
    </row>
    <row r="401" spans="1:31" x14ac:dyDescent="0.2">
      <c r="A401" s="141" t="s">
        <v>373</v>
      </c>
      <c r="B401" s="9" t="s">
        <v>495</v>
      </c>
      <c r="C401" s="9" t="s">
        <v>495</v>
      </c>
      <c r="D401" s="9" t="s">
        <v>495</v>
      </c>
      <c r="E401" s="9"/>
      <c r="F401" s="9">
        <v>0</v>
      </c>
      <c r="G401" s="4">
        <v>32597</v>
      </c>
      <c r="H401" s="4">
        <f t="shared" ref="H401:H447" si="50">SUM(J401:U401)+SUM(AA401:AC401)</f>
        <v>32597</v>
      </c>
      <c r="I401" s="24">
        <f t="shared" ref="I401:I447" si="51">ROUND((H401/G401),4)</f>
        <v>1</v>
      </c>
      <c r="J401" s="23">
        <v>0</v>
      </c>
      <c r="K401" s="23"/>
      <c r="L401" s="23"/>
      <c r="M401" s="23"/>
      <c r="N401" s="23"/>
      <c r="O401" s="23">
        <v>12597</v>
      </c>
      <c r="P401" s="23"/>
      <c r="Q401" s="23"/>
      <c r="R401" s="23"/>
      <c r="S401" s="23"/>
      <c r="T401" s="23"/>
      <c r="U401" s="23">
        <v>20000</v>
      </c>
      <c r="V401" s="7" t="s">
        <v>779</v>
      </c>
      <c r="W401" s="23">
        <f t="shared" ref="W401:W447" si="52">ROUND((G401-H401),2)</f>
        <v>0</v>
      </c>
      <c r="X401" s="7"/>
      <c r="Y401" s="4"/>
      <c r="Z401" s="4"/>
      <c r="AA401" s="82"/>
      <c r="AB401" s="82"/>
      <c r="AC401" s="82"/>
      <c r="AE401" s="7" t="s">
        <v>473</v>
      </c>
    </row>
    <row r="402" spans="1:31" x14ac:dyDescent="0.2">
      <c r="A402" s="141" t="s">
        <v>299</v>
      </c>
      <c r="B402" s="9" t="s">
        <v>495</v>
      </c>
      <c r="C402" s="9">
        <v>0</v>
      </c>
      <c r="D402" s="9">
        <v>0</v>
      </c>
      <c r="E402" s="9"/>
      <c r="F402" s="9" t="s">
        <v>495</v>
      </c>
      <c r="G402" s="4">
        <v>10000</v>
      </c>
      <c r="H402" s="4">
        <f t="shared" si="50"/>
        <v>10000</v>
      </c>
      <c r="I402" s="24">
        <f t="shared" si="51"/>
        <v>1</v>
      </c>
      <c r="J402" s="23">
        <v>833.37</v>
      </c>
      <c r="K402" s="23">
        <v>833.33</v>
      </c>
      <c r="L402" s="23">
        <v>833.33</v>
      </c>
      <c r="M402" s="23">
        <v>833.33</v>
      </c>
      <c r="N402" s="23">
        <v>833.33</v>
      </c>
      <c r="O402" s="23">
        <v>833.33</v>
      </c>
      <c r="P402" s="23">
        <v>833.33</v>
      </c>
      <c r="Q402" s="23">
        <v>833.33</v>
      </c>
      <c r="R402" s="23">
        <v>833.33</v>
      </c>
      <c r="S402" s="23">
        <v>833.33</v>
      </c>
      <c r="T402" s="23">
        <v>833.33</v>
      </c>
      <c r="U402" s="23">
        <v>833.33</v>
      </c>
      <c r="V402" s="7" t="s">
        <v>780</v>
      </c>
      <c r="W402" s="23">
        <f t="shared" si="52"/>
        <v>0</v>
      </c>
      <c r="X402" s="7"/>
      <c r="Y402" s="4"/>
      <c r="Z402" s="7"/>
      <c r="AA402" s="82"/>
      <c r="AB402" s="82"/>
      <c r="AC402" s="82"/>
      <c r="AE402" s="7" t="s">
        <v>475</v>
      </c>
    </row>
    <row r="403" spans="1:31" x14ac:dyDescent="0.2">
      <c r="A403" s="141" t="s">
        <v>300</v>
      </c>
      <c r="B403" s="9" t="s">
        <v>495</v>
      </c>
      <c r="C403" s="9" t="s">
        <v>495</v>
      </c>
      <c r="D403" s="9">
        <v>0</v>
      </c>
      <c r="E403" s="9"/>
      <c r="F403" s="9">
        <v>0</v>
      </c>
      <c r="G403" s="4">
        <v>9389</v>
      </c>
      <c r="H403" s="4">
        <f t="shared" si="50"/>
        <v>3912.1299999999997</v>
      </c>
      <c r="I403" s="24">
        <f t="shared" si="51"/>
        <v>0.41670000000000001</v>
      </c>
      <c r="J403" s="23">
        <v>782.49</v>
      </c>
      <c r="K403" s="23">
        <v>782.41</v>
      </c>
      <c r="L403" s="23">
        <v>782.41</v>
      </c>
      <c r="M403" s="23">
        <v>782.41</v>
      </c>
      <c r="N403" s="23">
        <v>782.41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/>
      <c r="U403" s="23"/>
      <c r="V403" s="7" t="s">
        <v>781</v>
      </c>
      <c r="W403" s="23">
        <f t="shared" si="52"/>
        <v>5476.87</v>
      </c>
      <c r="X403" s="7"/>
      <c r="Y403" s="4"/>
      <c r="Z403" s="7"/>
      <c r="AA403" s="82"/>
      <c r="AB403" s="82"/>
      <c r="AC403" s="82"/>
      <c r="AE403" s="7" t="s">
        <v>472</v>
      </c>
    </row>
    <row r="404" spans="1:31" x14ac:dyDescent="0.2">
      <c r="A404" s="141" t="s">
        <v>301</v>
      </c>
      <c r="B404" s="9" t="s">
        <v>495</v>
      </c>
      <c r="C404" s="9" t="s">
        <v>495</v>
      </c>
      <c r="D404" s="9" t="s">
        <v>495</v>
      </c>
      <c r="E404" s="9"/>
      <c r="F404" s="9" t="s">
        <v>495</v>
      </c>
      <c r="G404" s="4">
        <v>16981</v>
      </c>
      <c r="H404" s="4">
        <f t="shared" si="50"/>
        <v>16981</v>
      </c>
      <c r="I404" s="24">
        <f t="shared" si="51"/>
        <v>1</v>
      </c>
      <c r="J404" s="23">
        <v>1415.12</v>
      </c>
      <c r="K404" s="23">
        <v>1415.08</v>
      </c>
      <c r="L404" s="23">
        <v>1415.08</v>
      </c>
      <c r="M404" s="23">
        <v>1415.08</v>
      </c>
      <c r="N404" s="23">
        <v>1415.08</v>
      </c>
      <c r="O404" s="23">
        <v>1415.08</v>
      </c>
      <c r="P404" s="23">
        <v>1415.08</v>
      </c>
      <c r="Q404" s="23">
        <v>1415.08</v>
      </c>
      <c r="R404" s="23">
        <v>1415.08</v>
      </c>
      <c r="S404" s="23">
        <v>1415.08</v>
      </c>
      <c r="T404" s="23">
        <v>1415.08</v>
      </c>
      <c r="U404" s="23">
        <v>1415.08</v>
      </c>
      <c r="V404" s="7" t="s">
        <v>782</v>
      </c>
      <c r="W404" s="23">
        <f t="shared" si="52"/>
        <v>0</v>
      </c>
      <c r="X404" s="7"/>
      <c r="Y404" s="4"/>
      <c r="Z404" s="7"/>
      <c r="AA404" s="82"/>
      <c r="AB404" s="82"/>
      <c r="AC404" s="82"/>
      <c r="AE404" s="7" t="s">
        <v>472</v>
      </c>
    </row>
    <row r="405" spans="1:31" x14ac:dyDescent="0.2">
      <c r="A405" s="141" t="s">
        <v>302</v>
      </c>
      <c r="B405" s="9" t="s">
        <v>495</v>
      </c>
      <c r="C405" s="9" t="s">
        <v>495</v>
      </c>
      <c r="D405" s="9" t="s">
        <v>495</v>
      </c>
      <c r="E405" s="9"/>
      <c r="F405" s="9" t="s">
        <v>495</v>
      </c>
      <c r="G405" s="4">
        <v>2792</v>
      </c>
      <c r="H405" s="4">
        <f t="shared" si="50"/>
        <v>2792</v>
      </c>
      <c r="I405" s="24">
        <f t="shared" si="51"/>
        <v>1</v>
      </c>
      <c r="J405" s="23">
        <v>232.74</v>
      </c>
      <c r="K405" s="23">
        <v>232.66</v>
      </c>
      <c r="L405" s="23">
        <v>232.66</v>
      </c>
      <c r="M405" s="23">
        <v>2093.94</v>
      </c>
      <c r="N405" s="23"/>
      <c r="O405" s="23"/>
      <c r="P405" s="23"/>
      <c r="Q405" s="23"/>
      <c r="R405" s="23"/>
      <c r="S405" s="23"/>
      <c r="T405" s="23"/>
      <c r="U405" s="23"/>
      <c r="V405" s="7" t="s">
        <v>783</v>
      </c>
      <c r="W405" s="23">
        <f t="shared" si="52"/>
        <v>0</v>
      </c>
      <c r="X405" s="7"/>
      <c r="Y405" s="4"/>
      <c r="Z405" s="7"/>
      <c r="AA405" s="82"/>
      <c r="AB405" s="82"/>
      <c r="AC405" s="82"/>
      <c r="AE405" s="7" t="s">
        <v>472</v>
      </c>
    </row>
    <row r="406" spans="1:31" x14ac:dyDescent="0.2">
      <c r="A406" s="141" t="s">
        <v>303</v>
      </c>
      <c r="B406" s="9" t="s">
        <v>495</v>
      </c>
      <c r="C406" s="9" t="s">
        <v>495</v>
      </c>
      <c r="D406" s="9">
        <v>0</v>
      </c>
      <c r="E406" s="9"/>
      <c r="F406" s="9">
        <v>0</v>
      </c>
      <c r="G406" s="4">
        <v>8878</v>
      </c>
      <c r="H406" s="4">
        <f t="shared" si="50"/>
        <v>8878</v>
      </c>
      <c r="I406" s="24">
        <f t="shared" si="51"/>
        <v>1</v>
      </c>
      <c r="J406" s="23">
        <v>4439</v>
      </c>
      <c r="K406" s="23"/>
      <c r="L406" s="23"/>
      <c r="M406" s="23"/>
      <c r="N406" s="23"/>
      <c r="O406" s="23"/>
      <c r="P406" s="23">
        <v>4439</v>
      </c>
      <c r="Q406" s="23"/>
      <c r="R406" s="23"/>
      <c r="S406" s="23"/>
      <c r="T406" s="23"/>
      <c r="U406" s="23"/>
      <c r="V406" s="7" t="s">
        <v>784</v>
      </c>
      <c r="W406" s="23">
        <f t="shared" si="52"/>
        <v>0</v>
      </c>
      <c r="X406" s="7"/>
      <c r="Y406" s="4"/>
      <c r="Z406" s="7"/>
      <c r="AA406" s="82"/>
      <c r="AB406" s="82"/>
      <c r="AC406" s="82"/>
      <c r="AE406" s="7" t="s">
        <v>472</v>
      </c>
    </row>
    <row r="407" spans="1:31" x14ac:dyDescent="0.2">
      <c r="A407" s="141" t="s">
        <v>304</v>
      </c>
      <c r="B407" s="9" t="s">
        <v>495</v>
      </c>
      <c r="C407" s="9" t="s">
        <v>495</v>
      </c>
      <c r="D407" s="9" t="s">
        <v>495</v>
      </c>
      <c r="E407" s="9"/>
      <c r="F407" s="9" t="s">
        <v>495</v>
      </c>
      <c r="G407" s="4">
        <v>19182</v>
      </c>
      <c r="H407" s="4">
        <f t="shared" si="50"/>
        <v>19182</v>
      </c>
      <c r="I407" s="24">
        <f t="shared" si="51"/>
        <v>1</v>
      </c>
      <c r="J407" s="23">
        <v>1598.5</v>
      </c>
      <c r="K407" s="23">
        <v>1598.5</v>
      </c>
      <c r="L407" s="23">
        <v>1598.5</v>
      </c>
      <c r="M407" s="23">
        <v>1598.5</v>
      </c>
      <c r="N407" s="23">
        <v>1598.5</v>
      </c>
      <c r="O407" s="23">
        <v>1598.5</v>
      </c>
      <c r="P407" s="23">
        <v>1598.5</v>
      </c>
      <c r="Q407" s="23">
        <v>1598.5</v>
      </c>
      <c r="R407" s="23">
        <v>1598.5</v>
      </c>
      <c r="S407" s="23">
        <v>1598.5</v>
      </c>
      <c r="T407" s="23">
        <v>1598.5</v>
      </c>
      <c r="U407" s="23">
        <v>1598.5</v>
      </c>
      <c r="V407" s="7" t="s">
        <v>785</v>
      </c>
      <c r="W407" s="23">
        <f t="shared" si="52"/>
        <v>0</v>
      </c>
      <c r="X407" s="7"/>
      <c r="Y407" s="4"/>
      <c r="Z407" s="7"/>
      <c r="AA407" s="82"/>
      <c r="AB407" s="82"/>
      <c r="AC407" s="82"/>
      <c r="AE407" s="7" t="s">
        <v>472</v>
      </c>
    </row>
    <row r="408" spans="1:31" x14ac:dyDescent="0.2">
      <c r="A408" s="141" t="s">
        <v>305</v>
      </c>
      <c r="B408" s="9" t="s">
        <v>495</v>
      </c>
      <c r="C408" s="9" t="s">
        <v>495</v>
      </c>
      <c r="D408" s="9">
        <v>0</v>
      </c>
      <c r="E408" s="9"/>
      <c r="F408" s="9" t="s">
        <v>638</v>
      </c>
      <c r="G408" s="4">
        <v>11113</v>
      </c>
      <c r="H408" s="4">
        <f t="shared" si="50"/>
        <v>11113</v>
      </c>
      <c r="I408" s="24">
        <f t="shared" si="51"/>
        <v>1</v>
      </c>
      <c r="J408" s="23">
        <v>993.4</v>
      </c>
      <c r="K408" s="23">
        <v>920</v>
      </c>
      <c r="L408" s="23">
        <v>919.96</v>
      </c>
      <c r="M408" s="23">
        <v>919.96</v>
      </c>
      <c r="N408" s="23">
        <v>919.96</v>
      </c>
      <c r="O408" s="23">
        <v>919.96</v>
      </c>
      <c r="P408" s="23">
        <v>919.96</v>
      </c>
      <c r="Q408" s="23">
        <v>919.96</v>
      </c>
      <c r="R408" s="23">
        <v>919.96</v>
      </c>
      <c r="S408" s="23">
        <v>919.96</v>
      </c>
      <c r="T408" s="23">
        <v>919.96</v>
      </c>
      <c r="U408" s="23">
        <v>919.96</v>
      </c>
      <c r="V408" s="7" t="s">
        <v>786</v>
      </c>
      <c r="W408" s="23">
        <f t="shared" si="52"/>
        <v>0</v>
      </c>
      <c r="X408" s="7"/>
      <c r="Y408" s="4"/>
      <c r="Z408" s="7"/>
      <c r="AA408" s="82"/>
      <c r="AB408" s="82"/>
      <c r="AC408" s="82"/>
      <c r="AE408" s="7" t="s">
        <v>473</v>
      </c>
    </row>
    <row r="409" spans="1:31" x14ac:dyDescent="0.2">
      <c r="A409" s="141" t="s">
        <v>306</v>
      </c>
      <c r="B409" s="9" t="s">
        <v>495</v>
      </c>
      <c r="C409" s="9" t="s">
        <v>495</v>
      </c>
      <c r="D409" s="9" t="s">
        <v>495</v>
      </c>
      <c r="E409" s="9"/>
      <c r="F409" s="9" t="s">
        <v>495</v>
      </c>
      <c r="G409" s="4">
        <v>1933</v>
      </c>
      <c r="H409" s="4">
        <f t="shared" si="50"/>
        <v>1932.9999999999998</v>
      </c>
      <c r="I409" s="24">
        <f t="shared" si="51"/>
        <v>1</v>
      </c>
      <c r="J409" s="23">
        <v>161.12</v>
      </c>
      <c r="K409" s="23">
        <v>161.08000000000001</v>
      </c>
      <c r="L409" s="23">
        <v>161.08000000000001</v>
      </c>
      <c r="M409" s="23">
        <v>161.08000000000001</v>
      </c>
      <c r="N409" s="23">
        <v>161.08000000000001</v>
      </c>
      <c r="O409" s="23">
        <v>161.08000000000001</v>
      </c>
      <c r="P409" s="23">
        <v>161.08000000000001</v>
      </c>
      <c r="Q409" s="23">
        <v>161.08000000000001</v>
      </c>
      <c r="R409" s="23">
        <v>161.08000000000001</v>
      </c>
      <c r="S409" s="23">
        <v>161.08000000000001</v>
      </c>
      <c r="T409" s="23">
        <v>161.08000000000001</v>
      </c>
      <c r="U409" s="23">
        <v>161.08000000000001</v>
      </c>
      <c r="V409" s="7" t="s">
        <v>787</v>
      </c>
      <c r="W409" s="23">
        <f t="shared" si="52"/>
        <v>0</v>
      </c>
      <c r="X409" s="7"/>
      <c r="Y409" s="4"/>
      <c r="Z409" s="7"/>
      <c r="AA409" s="82"/>
      <c r="AB409" s="82"/>
      <c r="AC409" s="82"/>
      <c r="AE409" s="7" t="s">
        <v>472</v>
      </c>
    </row>
    <row r="410" spans="1:31" x14ac:dyDescent="0.2">
      <c r="A410" s="141" t="s">
        <v>307</v>
      </c>
      <c r="B410" s="9" t="s">
        <v>495</v>
      </c>
      <c r="C410" s="9" t="s">
        <v>495</v>
      </c>
      <c r="D410" s="9" t="s">
        <v>495</v>
      </c>
      <c r="E410" s="9"/>
      <c r="F410" s="9" t="s">
        <v>495</v>
      </c>
      <c r="G410" s="4">
        <v>20744</v>
      </c>
      <c r="H410" s="4">
        <f t="shared" si="50"/>
        <v>20743.8</v>
      </c>
      <c r="I410" s="24">
        <f t="shared" si="51"/>
        <v>1</v>
      </c>
      <c r="J410" s="23">
        <v>1000</v>
      </c>
      <c r="K410" s="23">
        <v>1000</v>
      </c>
      <c r="L410" s="23">
        <v>1000</v>
      </c>
      <c r="M410" s="23">
        <v>1000</v>
      </c>
      <c r="N410" s="23">
        <v>1000</v>
      </c>
      <c r="O410" s="23">
        <v>5743.8</v>
      </c>
      <c r="P410" s="23">
        <v>1000</v>
      </c>
      <c r="Q410" s="23">
        <v>1000</v>
      </c>
      <c r="R410" s="23">
        <v>1000</v>
      </c>
      <c r="S410" s="23">
        <v>5000</v>
      </c>
      <c r="T410" s="23">
        <v>1000</v>
      </c>
      <c r="U410" s="23">
        <v>1000</v>
      </c>
      <c r="V410" s="7" t="s">
        <v>788</v>
      </c>
      <c r="W410" s="23">
        <f t="shared" si="52"/>
        <v>0.2</v>
      </c>
      <c r="X410" s="7"/>
      <c r="Y410" s="4"/>
      <c r="Z410" s="7"/>
      <c r="AA410" s="82"/>
      <c r="AB410" s="82"/>
      <c r="AC410" s="82"/>
      <c r="AE410" s="7" t="s">
        <v>473</v>
      </c>
    </row>
    <row r="411" spans="1:31" x14ac:dyDescent="0.2">
      <c r="A411" s="144" t="s">
        <v>308</v>
      </c>
      <c r="B411" s="9" t="s">
        <v>495</v>
      </c>
      <c r="C411" s="9" t="s">
        <v>495</v>
      </c>
      <c r="D411" s="9" t="s">
        <v>495</v>
      </c>
      <c r="E411" s="9"/>
      <c r="F411" s="9">
        <v>0</v>
      </c>
      <c r="G411" s="4">
        <v>3334</v>
      </c>
      <c r="H411" s="4">
        <f t="shared" si="50"/>
        <v>4300</v>
      </c>
      <c r="I411" s="24">
        <f t="shared" si="51"/>
        <v>1.2897000000000001</v>
      </c>
      <c r="J411" s="23">
        <v>300</v>
      </c>
      <c r="K411" s="23">
        <v>300</v>
      </c>
      <c r="L411" s="23">
        <v>200</v>
      </c>
      <c r="M411" s="23">
        <v>200</v>
      </c>
      <c r="N411" s="23">
        <v>200</v>
      </c>
      <c r="O411" s="23">
        <v>300</v>
      </c>
      <c r="P411" s="23">
        <v>1000</v>
      </c>
      <c r="Q411" s="23"/>
      <c r="R411" s="23">
        <v>250</v>
      </c>
      <c r="S411" s="23">
        <v>700</v>
      </c>
      <c r="T411" s="23">
        <v>400</v>
      </c>
      <c r="U411" s="23">
        <v>450</v>
      </c>
      <c r="V411" s="7" t="s">
        <v>789</v>
      </c>
      <c r="W411" s="23">
        <f t="shared" si="52"/>
        <v>-966</v>
      </c>
      <c r="X411" s="7"/>
      <c r="Y411" s="4"/>
      <c r="Z411" s="7"/>
      <c r="AA411" s="82"/>
      <c r="AB411" s="82"/>
      <c r="AC411" s="82"/>
      <c r="AE411" s="7" t="s">
        <v>473</v>
      </c>
    </row>
    <row r="412" spans="1:31" x14ac:dyDescent="0.2">
      <c r="A412" s="141" t="s">
        <v>309</v>
      </c>
      <c r="B412" s="9" t="s">
        <v>495</v>
      </c>
      <c r="C412" s="9">
        <v>0</v>
      </c>
      <c r="D412" s="9" t="s">
        <v>495</v>
      </c>
      <c r="E412" s="9"/>
      <c r="F412" s="9">
        <v>0</v>
      </c>
      <c r="G412" s="4">
        <v>6297</v>
      </c>
      <c r="H412" s="4">
        <f t="shared" si="50"/>
        <v>4000</v>
      </c>
      <c r="I412" s="24">
        <f t="shared" si="51"/>
        <v>0.63519999999999999</v>
      </c>
      <c r="J412" s="23">
        <v>0</v>
      </c>
      <c r="K412" s="23"/>
      <c r="L412" s="23"/>
      <c r="M412" s="23"/>
      <c r="N412" s="23"/>
      <c r="O412" s="23"/>
      <c r="P412" s="23">
        <v>1500</v>
      </c>
      <c r="Q412" s="23"/>
      <c r="R412" s="23"/>
      <c r="S412" s="23"/>
      <c r="T412" s="23"/>
      <c r="U412" s="23">
        <v>2500</v>
      </c>
      <c r="V412" s="7" t="s">
        <v>790</v>
      </c>
      <c r="W412" s="23">
        <f t="shared" si="52"/>
        <v>2297</v>
      </c>
      <c r="X412" s="7"/>
      <c r="Y412" s="4"/>
      <c r="Z412" s="7"/>
      <c r="AA412" s="82"/>
      <c r="AB412" s="82"/>
      <c r="AC412" s="82"/>
      <c r="AE412" s="7" t="s">
        <v>473</v>
      </c>
    </row>
    <row r="413" spans="1:31" x14ac:dyDescent="0.2">
      <c r="A413" s="141" t="s">
        <v>310</v>
      </c>
      <c r="B413" s="9" t="s">
        <v>495</v>
      </c>
      <c r="C413" s="9" t="s">
        <v>495</v>
      </c>
      <c r="D413" s="9" t="s">
        <v>495</v>
      </c>
      <c r="E413" s="9"/>
      <c r="F413" s="9" t="s">
        <v>495</v>
      </c>
      <c r="G413" s="4">
        <v>22500</v>
      </c>
      <c r="H413" s="4">
        <f t="shared" si="50"/>
        <v>19500</v>
      </c>
      <c r="I413" s="24">
        <f t="shared" si="51"/>
        <v>0.86670000000000003</v>
      </c>
      <c r="J413" s="23">
        <v>500</v>
      </c>
      <c r="K413" s="23">
        <v>2000</v>
      </c>
      <c r="L413" s="23">
        <v>2000</v>
      </c>
      <c r="M413" s="23">
        <v>2000</v>
      </c>
      <c r="N413" s="23">
        <v>2000</v>
      </c>
      <c r="O413" s="23">
        <v>2000</v>
      </c>
      <c r="P413" s="23">
        <v>2000</v>
      </c>
      <c r="Q413" s="23">
        <v>2000</v>
      </c>
      <c r="R413" s="23">
        <v>2000</v>
      </c>
      <c r="S413" s="23">
        <v>1000</v>
      </c>
      <c r="T413" s="23">
        <v>1000</v>
      </c>
      <c r="U413" s="23">
        <v>1000</v>
      </c>
      <c r="V413" s="7" t="s">
        <v>791</v>
      </c>
      <c r="W413" s="23">
        <f t="shared" si="52"/>
        <v>3000</v>
      </c>
      <c r="X413" s="7"/>
      <c r="Y413" s="4"/>
      <c r="Z413" s="7"/>
      <c r="AA413" s="82"/>
      <c r="AB413" s="82"/>
      <c r="AC413" s="82"/>
      <c r="AE413" s="7" t="s">
        <v>475</v>
      </c>
    </row>
    <row r="414" spans="1:31" x14ac:dyDescent="0.2">
      <c r="A414" s="141" t="s">
        <v>311</v>
      </c>
      <c r="B414" s="9" t="s">
        <v>495</v>
      </c>
      <c r="C414" s="9">
        <v>0</v>
      </c>
      <c r="D414" s="9">
        <v>0</v>
      </c>
      <c r="E414" s="9"/>
      <c r="F414" s="9" t="s">
        <v>495</v>
      </c>
      <c r="G414" s="4">
        <v>14551</v>
      </c>
      <c r="H414" s="4">
        <f t="shared" si="50"/>
        <v>14550.999999999996</v>
      </c>
      <c r="I414" s="24">
        <f t="shared" si="51"/>
        <v>1</v>
      </c>
      <c r="J414" s="23">
        <v>1196.8499999999999</v>
      </c>
      <c r="K414" s="23">
        <v>1196.8499999999999</v>
      </c>
      <c r="L414" s="23">
        <v>1215.73</v>
      </c>
      <c r="M414" s="23">
        <v>1215.73</v>
      </c>
      <c r="N414" s="23">
        <v>1215.73</v>
      </c>
      <c r="O414" s="23">
        <v>1215.73</v>
      </c>
      <c r="P414" s="23">
        <v>1215.73</v>
      </c>
      <c r="Q414" s="23">
        <v>1215.73</v>
      </c>
      <c r="R414" s="23">
        <v>1215.73</v>
      </c>
      <c r="S414" s="23">
        <v>1215.73</v>
      </c>
      <c r="T414" s="23">
        <v>1215.73</v>
      </c>
      <c r="U414" s="23">
        <v>1215.73</v>
      </c>
      <c r="V414" s="7" t="s">
        <v>792</v>
      </c>
      <c r="W414" s="23">
        <f t="shared" si="52"/>
        <v>0</v>
      </c>
      <c r="X414" s="7"/>
      <c r="Y414" s="4"/>
      <c r="Z414" s="7"/>
      <c r="AA414" s="82"/>
      <c r="AB414" s="82"/>
      <c r="AC414" s="82"/>
      <c r="AE414" s="7" t="s">
        <v>474</v>
      </c>
    </row>
    <row r="415" spans="1:31" x14ac:dyDescent="0.2">
      <c r="A415" s="141" t="s">
        <v>312</v>
      </c>
      <c r="B415" s="9" t="s">
        <v>495</v>
      </c>
      <c r="C415" s="9" t="s">
        <v>495</v>
      </c>
      <c r="D415" s="9" t="s">
        <v>495</v>
      </c>
      <c r="E415" s="9"/>
      <c r="F415" s="9">
        <v>0</v>
      </c>
      <c r="G415" s="4">
        <v>2369</v>
      </c>
      <c r="H415" s="4">
        <f t="shared" si="50"/>
        <v>0</v>
      </c>
      <c r="I415" s="24">
        <f t="shared" si="51"/>
        <v>0</v>
      </c>
      <c r="J415" s="23">
        <v>0</v>
      </c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7" t="s">
        <v>793</v>
      </c>
      <c r="W415" s="23">
        <f t="shared" si="52"/>
        <v>2369</v>
      </c>
      <c r="X415" s="7"/>
      <c r="Y415" s="4"/>
      <c r="Z415" s="7"/>
      <c r="AA415" s="82"/>
      <c r="AB415" s="82"/>
      <c r="AC415" s="82"/>
      <c r="AE415" s="7" t="s">
        <v>474</v>
      </c>
    </row>
    <row r="416" spans="1:31" x14ac:dyDescent="0.2">
      <c r="A416" s="141" t="s">
        <v>313</v>
      </c>
      <c r="B416" s="9" t="s">
        <v>495</v>
      </c>
      <c r="C416" s="9" t="s">
        <v>495</v>
      </c>
      <c r="D416" s="9" t="s">
        <v>495</v>
      </c>
      <c r="E416" s="9"/>
      <c r="F416" s="9">
        <v>0</v>
      </c>
      <c r="G416" s="4">
        <v>14889</v>
      </c>
      <c r="H416" s="4">
        <f t="shared" si="50"/>
        <v>8500</v>
      </c>
      <c r="I416" s="24">
        <f t="shared" si="51"/>
        <v>0.57089999999999996</v>
      </c>
      <c r="J416" s="23">
        <v>1000</v>
      </c>
      <c r="K416" s="23">
        <v>1000</v>
      </c>
      <c r="L416" s="23">
        <v>1000</v>
      </c>
      <c r="M416" s="23">
        <v>500</v>
      </c>
      <c r="N416" s="23">
        <v>1000</v>
      </c>
      <c r="O416" s="23">
        <v>500</v>
      </c>
      <c r="P416" s="23">
        <v>500</v>
      </c>
      <c r="Q416" s="23">
        <v>500</v>
      </c>
      <c r="R416" s="23">
        <v>500</v>
      </c>
      <c r="S416" s="23">
        <v>1000</v>
      </c>
      <c r="T416" s="23">
        <v>500</v>
      </c>
      <c r="U416" s="23">
        <v>500</v>
      </c>
      <c r="V416" s="7" t="s">
        <v>794</v>
      </c>
      <c r="W416" s="23">
        <f t="shared" si="52"/>
        <v>6389</v>
      </c>
      <c r="X416" s="7"/>
      <c r="Y416" s="4"/>
      <c r="Z416" s="7"/>
      <c r="AA416" s="82"/>
      <c r="AB416" s="82"/>
      <c r="AC416" s="82"/>
      <c r="AE416" s="7" t="s">
        <v>474</v>
      </c>
    </row>
    <row r="417" spans="1:31" x14ac:dyDescent="0.2">
      <c r="A417" s="141" t="s">
        <v>314</v>
      </c>
      <c r="B417" s="9" t="s">
        <v>495</v>
      </c>
      <c r="C417" s="9" t="s">
        <v>495</v>
      </c>
      <c r="D417" s="9">
        <v>0</v>
      </c>
      <c r="E417" s="9"/>
      <c r="F417" s="9">
        <v>0</v>
      </c>
      <c r="G417" s="4">
        <v>7783</v>
      </c>
      <c r="H417" s="4">
        <f t="shared" si="50"/>
        <v>4000</v>
      </c>
      <c r="I417" s="24">
        <f t="shared" si="51"/>
        <v>0.51390000000000002</v>
      </c>
      <c r="J417" s="23">
        <v>0</v>
      </c>
      <c r="K417" s="23"/>
      <c r="L417" s="23"/>
      <c r="M417" s="23">
        <v>2500</v>
      </c>
      <c r="N417" s="23"/>
      <c r="O417" s="23"/>
      <c r="P417" s="23"/>
      <c r="Q417" s="23"/>
      <c r="R417" s="23"/>
      <c r="S417" s="23"/>
      <c r="T417" s="23">
        <v>1000</v>
      </c>
      <c r="U417" s="23">
        <v>500</v>
      </c>
      <c r="V417" s="7" t="s">
        <v>795</v>
      </c>
      <c r="W417" s="23">
        <f t="shared" si="52"/>
        <v>3783</v>
      </c>
      <c r="X417" s="7"/>
      <c r="Y417" s="4"/>
      <c r="Z417" s="7"/>
      <c r="AA417" s="82"/>
      <c r="AB417" s="82"/>
      <c r="AC417" s="82"/>
      <c r="AE417" s="7" t="s">
        <v>474</v>
      </c>
    </row>
    <row r="418" spans="1:31" x14ac:dyDescent="0.2">
      <c r="A418" s="141" t="s">
        <v>315</v>
      </c>
      <c r="B418" s="9" t="s">
        <v>495</v>
      </c>
      <c r="C418" s="9" t="s">
        <v>495</v>
      </c>
      <c r="D418" s="9">
        <v>0</v>
      </c>
      <c r="E418" s="9"/>
      <c r="F418" s="9">
        <v>0</v>
      </c>
      <c r="G418" s="4">
        <v>8798</v>
      </c>
      <c r="H418" s="4">
        <f t="shared" si="50"/>
        <v>4898</v>
      </c>
      <c r="I418" s="24">
        <f t="shared" si="51"/>
        <v>0.55669999999999997</v>
      </c>
      <c r="J418" s="23">
        <v>0</v>
      </c>
      <c r="K418" s="23"/>
      <c r="L418" s="23"/>
      <c r="M418" s="23"/>
      <c r="N418" s="23">
        <v>1100</v>
      </c>
      <c r="O418" s="23">
        <v>1100</v>
      </c>
      <c r="P418" s="23">
        <v>1100</v>
      </c>
      <c r="Q418" s="23">
        <v>1100</v>
      </c>
      <c r="R418" s="23">
        <v>100</v>
      </c>
      <c r="S418" s="23">
        <v>100</v>
      </c>
      <c r="T418" s="23">
        <v>100</v>
      </c>
      <c r="U418" s="23">
        <v>198</v>
      </c>
      <c r="V418" s="7" t="s">
        <v>796</v>
      </c>
      <c r="W418" s="23">
        <f t="shared" si="52"/>
        <v>3900</v>
      </c>
      <c r="X418" s="7"/>
      <c r="Y418" s="4"/>
      <c r="Z418" s="7"/>
      <c r="AA418" s="82"/>
      <c r="AB418" s="82"/>
      <c r="AC418" s="82"/>
      <c r="AE418" s="7" t="s">
        <v>474</v>
      </c>
    </row>
    <row r="419" spans="1:31" x14ac:dyDescent="0.2">
      <c r="A419" s="141" t="s">
        <v>316</v>
      </c>
      <c r="B419" s="9" t="s">
        <v>495</v>
      </c>
      <c r="C419" s="9" t="s">
        <v>495</v>
      </c>
      <c r="D419" s="9">
        <v>0</v>
      </c>
      <c r="E419" s="9"/>
      <c r="F419" s="9" t="s">
        <v>495</v>
      </c>
      <c r="G419" s="4">
        <v>90000</v>
      </c>
      <c r="H419" s="4">
        <f t="shared" si="50"/>
        <v>90000</v>
      </c>
      <c r="I419" s="24">
        <f t="shared" si="51"/>
        <v>1</v>
      </c>
      <c r="J419" s="23">
        <v>7500</v>
      </c>
      <c r="K419" s="23">
        <v>7500</v>
      </c>
      <c r="L419" s="23">
        <v>7500</v>
      </c>
      <c r="M419" s="23">
        <v>7500</v>
      </c>
      <c r="N419" s="23">
        <v>7500</v>
      </c>
      <c r="O419" s="23">
        <v>7500</v>
      </c>
      <c r="P419" s="23">
        <v>7500</v>
      </c>
      <c r="Q419" s="23">
        <v>7500</v>
      </c>
      <c r="R419" s="23">
        <v>7500</v>
      </c>
      <c r="S419" s="23">
        <v>7500</v>
      </c>
      <c r="T419" s="23">
        <v>7500</v>
      </c>
      <c r="U419" s="23">
        <v>7500</v>
      </c>
      <c r="V419" s="7" t="s">
        <v>797</v>
      </c>
      <c r="W419" s="23">
        <f t="shared" si="52"/>
        <v>0</v>
      </c>
      <c r="X419" s="7"/>
      <c r="Y419" s="4"/>
      <c r="Z419" s="7"/>
      <c r="AA419" s="82"/>
      <c r="AB419" s="82"/>
      <c r="AC419" s="82"/>
      <c r="AE419" s="7" t="s">
        <v>475</v>
      </c>
    </row>
    <row r="420" spans="1:31" x14ac:dyDescent="0.2">
      <c r="A420" s="141" t="s">
        <v>317</v>
      </c>
      <c r="B420" s="9" t="s">
        <v>495</v>
      </c>
      <c r="C420" s="9">
        <v>0</v>
      </c>
      <c r="D420" s="9" t="s">
        <v>495</v>
      </c>
      <c r="E420" s="9"/>
      <c r="F420" s="9" t="s">
        <v>495</v>
      </c>
      <c r="G420" s="4">
        <v>5000</v>
      </c>
      <c r="H420" s="4">
        <f t="shared" si="50"/>
        <v>4999.9999999999991</v>
      </c>
      <c r="I420" s="24">
        <f t="shared" si="51"/>
        <v>1</v>
      </c>
      <c r="J420" s="23">
        <v>416.74</v>
      </c>
      <c r="K420" s="23">
        <v>416.66</v>
      </c>
      <c r="L420" s="23">
        <v>416.66</v>
      </c>
      <c r="M420" s="23">
        <v>416.66</v>
      </c>
      <c r="N420" s="23">
        <v>416.66</v>
      </c>
      <c r="O420" s="23">
        <v>416.66</v>
      </c>
      <c r="P420" s="23">
        <v>416.66</v>
      </c>
      <c r="Q420" s="23">
        <v>416.66</v>
      </c>
      <c r="R420" s="23">
        <v>416.66</v>
      </c>
      <c r="S420" s="23">
        <v>416.66</v>
      </c>
      <c r="T420" s="23">
        <v>416.66</v>
      </c>
      <c r="U420" s="23">
        <v>416.66</v>
      </c>
      <c r="V420" s="7" t="s">
        <v>798</v>
      </c>
      <c r="W420" s="23">
        <f t="shared" si="52"/>
        <v>0</v>
      </c>
      <c r="X420" s="7"/>
      <c r="Y420" s="4"/>
      <c r="Z420" s="7"/>
      <c r="AA420" s="82"/>
      <c r="AB420" s="82"/>
      <c r="AC420" s="82"/>
      <c r="AE420" s="7" t="s">
        <v>475</v>
      </c>
    </row>
    <row r="421" spans="1:31" x14ac:dyDescent="0.2">
      <c r="A421" s="141" t="s">
        <v>318</v>
      </c>
      <c r="B421" s="9" t="s">
        <v>495</v>
      </c>
      <c r="C421" s="9" t="s">
        <v>495</v>
      </c>
      <c r="D421" s="9">
        <v>0</v>
      </c>
      <c r="E421" s="9"/>
      <c r="F421" s="9">
        <v>0</v>
      </c>
      <c r="G421" s="4">
        <v>5000</v>
      </c>
      <c r="H421" s="4">
        <f t="shared" si="50"/>
        <v>5000</v>
      </c>
      <c r="I421" s="24">
        <f t="shared" si="51"/>
        <v>1</v>
      </c>
      <c r="J421" s="23">
        <v>0</v>
      </c>
      <c r="K421" s="23">
        <v>1250</v>
      </c>
      <c r="L421" s="23"/>
      <c r="M421" s="23"/>
      <c r="N421" s="23">
        <v>1250</v>
      </c>
      <c r="O421" s="23"/>
      <c r="P421" s="23"/>
      <c r="Q421" s="23">
        <v>1250</v>
      </c>
      <c r="R421" s="23"/>
      <c r="S421" s="23">
        <v>1250</v>
      </c>
      <c r="T421" s="23"/>
      <c r="U421" s="23"/>
      <c r="V421" s="7" t="s">
        <v>799</v>
      </c>
      <c r="W421" s="23">
        <f t="shared" si="52"/>
        <v>0</v>
      </c>
      <c r="X421" s="7"/>
      <c r="Y421" s="4"/>
      <c r="Z421" s="7"/>
      <c r="AA421" s="82"/>
      <c r="AB421" s="82"/>
      <c r="AC421" s="82"/>
      <c r="AE421" s="7" t="s">
        <v>475</v>
      </c>
    </row>
    <row r="422" spans="1:31" x14ac:dyDescent="0.2">
      <c r="A422" s="141" t="s">
        <v>319</v>
      </c>
      <c r="B422" s="9" t="s">
        <v>495</v>
      </c>
      <c r="C422" s="9" t="s">
        <v>495</v>
      </c>
      <c r="D422" s="9">
        <v>0</v>
      </c>
      <c r="E422" s="9"/>
      <c r="F422" s="9" t="s">
        <v>495</v>
      </c>
      <c r="G422" s="4">
        <v>14000</v>
      </c>
      <c r="H422" s="4">
        <f t="shared" si="50"/>
        <v>10000</v>
      </c>
      <c r="I422" s="24">
        <f t="shared" si="51"/>
        <v>0.71430000000000005</v>
      </c>
      <c r="J422" s="23">
        <v>200</v>
      </c>
      <c r="K422" s="23">
        <v>200</v>
      </c>
      <c r="L422" s="23">
        <v>200</v>
      </c>
      <c r="M422" s="23">
        <v>200</v>
      </c>
      <c r="N422" s="23">
        <v>200</v>
      </c>
      <c r="O422" s="23">
        <v>200</v>
      </c>
      <c r="P422" s="23">
        <v>200</v>
      </c>
      <c r="Q422" s="23">
        <v>200</v>
      </c>
      <c r="R422" s="23">
        <v>200</v>
      </c>
      <c r="S422" s="23">
        <v>200</v>
      </c>
      <c r="T422" s="23">
        <v>8000</v>
      </c>
      <c r="U422" s="23"/>
      <c r="V422" s="7" t="s">
        <v>800</v>
      </c>
      <c r="W422" s="23">
        <f t="shared" si="52"/>
        <v>4000</v>
      </c>
      <c r="X422" s="7"/>
      <c r="Y422" s="4"/>
      <c r="Z422" s="7"/>
      <c r="AA422" s="82"/>
      <c r="AB422" s="82"/>
      <c r="AC422" s="82"/>
      <c r="AE422" s="7" t="s">
        <v>475</v>
      </c>
    </row>
    <row r="423" spans="1:31" x14ac:dyDescent="0.2">
      <c r="A423" s="141" t="s">
        <v>320</v>
      </c>
      <c r="B423" s="9" t="s">
        <v>495</v>
      </c>
      <c r="C423" s="9" t="s">
        <v>495</v>
      </c>
      <c r="D423" s="9" t="s">
        <v>495</v>
      </c>
      <c r="E423" s="9"/>
      <c r="F423" s="9" t="s">
        <v>495</v>
      </c>
      <c r="G423" s="4">
        <v>5000</v>
      </c>
      <c r="H423" s="4">
        <f t="shared" si="50"/>
        <v>4999.9999999999991</v>
      </c>
      <c r="I423" s="24">
        <f t="shared" si="51"/>
        <v>1</v>
      </c>
      <c r="J423" s="23">
        <v>416.74</v>
      </c>
      <c r="K423" s="23">
        <v>416.66</v>
      </c>
      <c r="L423" s="23">
        <v>416.66</v>
      </c>
      <c r="M423" s="23">
        <v>416.66</v>
      </c>
      <c r="N423" s="23">
        <v>416.66</v>
      </c>
      <c r="O423" s="23">
        <v>416.66</v>
      </c>
      <c r="P423" s="23">
        <v>416.66</v>
      </c>
      <c r="Q423" s="23">
        <v>416.66</v>
      </c>
      <c r="R423" s="23">
        <v>416.66</v>
      </c>
      <c r="S423" s="23">
        <v>416.66</v>
      </c>
      <c r="T423" s="23">
        <v>416.66</v>
      </c>
      <c r="U423" s="23">
        <v>416.66</v>
      </c>
      <c r="V423" s="7" t="s">
        <v>801</v>
      </c>
      <c r="W423" s="23">
        <f t="shared" si="52"/>
        <v>0</v>
      </c>
      <c r="X423" s="7"/>
      <c r="Y423" s="4"/>
      <c r="Z423" s="7"/>
      <c r="AA423" s="82"/>
      <c r="AB423" s="82"/>
      <c r="AC423" s="82"/>
      <c r="AE423" s="7" t="s">
        <v>475</v>
      </c>
    </row>
    <row r="424" spans="1:31" x14ac:dyDescent="0.2">
      <c r="A424" s="141" t="s">
        <v>321</v>
      </c>
      <c r="B424" s="9" t="s">
        <v>495</v>
      </c>
      <c r="C424" s="9" t="s">
        <v>495</v>
      </c>
      <c r="D424" s="9" t="s">
        <v>495</v>
      </c>
      <c r="E424" s="9"/>
      <c r="F424" s="9" t="s">
        <v>495</v>
      </c>
      <c r="G424" s="4">
        <v>9539</v>
      </c>
      <c r="H424" s="4">
        <f t="shared" si="50"/>
        <v>9539</v>
      </c>
      <c r="I424" s="24">
        <f t="shared" si="51"/>
        <v>1</v>
      </c>
      <c r="J424" s="23">
        <v>794.99</v>
      </c>
      <c r="K424" s="23">
        <v>794.91</v>
      </c>
      <c r="L424" s="23">
        <v>794.91</v>
      </c>
      <c r="M424" s="23">
        <v>794.91</v>
      </c>
      <c r="N424" s="23">
        <v>794.91</v>
      </c>
      <c r="O424" s="23">
        <v>794.91</v>
      </c>
      <c r="P424" s="23">
        <v>794.91</v>
      </c>
      <c r="Q424" s="23">
        <v>794.91</v>
      </c>
      <c r="R424" s="23">
        <v>794.91</v>
      </c>
      <c r="S424" s="23">
        <v>794.91</v>
      </c>
      <c r="T424" s="23">
        <v>794.91</v>
      </c>
      <c r="U424" s="23">
        <v>794.91</v>
      </c>
      <c r="V424" s="7" t="s">
        <v>802</v>
      </c>
      <c r="W424" s="23">
        <f t="shared" si="52"/>
        <v>0</v>
      </c>
      <c r="X424" s="7"/>
      <c r="Y424" s="4"/>
      <c r="Z424" s="7"/>
      <c r="AA424" s="82"/>
      <c r="AB424" s="82"/>
      <c r="AC424" s="82"/>
      <c r="AE424" s="7" t="s">
        <v>472</v>
      </c>
    </row>
    <row r="425" spans="1:31" x14ac:dyDescent="0.2">
      <c r="A425" s="141" t="s">
        <v>322</v>
      </c>
      <c r="B425" s="9" t="s">
        <v>495</v>
      </c>
      <c r="C425" s="9" t="s">
        <v>495</v>
      </c>
      <c r="D425" s="9" t="s">
        <v>495</v>
      </c>
      <c r="E425" s="9"/>
      <c r="F425" s="9">
        <v>0</v>
      </c>
      <c r="G425" s="4">
        <v>8067</v>
      </c>
      <c r="H425" s="4">
        <f t="shared" si="50"/>
        <v>4489</v>
      </c>
      <c r="I425" s="24">
        <f t="shared" si="51"/>
        <v>0.55649999999999999</v>
      </c>
      <c r="J425" s="23">
        <v>672.25</v>
      </c>
      <c r="K425" s="23">
        <v>672.25</v>
      </c>
      <c r="L425" s="23">
        <v>672.25</v>
      </c>
      <c r="M425" s="23">
        <v>672.25</v>
      </c>
      <c r="N425" s="23"/>
      <c r="O425" s="23"/>
      <c r="P425" s="23">
        <v>300</v>
      </c>
      <c r="Q425" s="23"/>
      <c r="R425" s="23"/>
      <c r="S425" s="23">
        <v>600</v>
      </c>
      <c r="T425" s="23"/>
      <c r="U425" s="23">
        <v>600</v>
      </c>
      <c r="V425" s="7" t="s">
        <v>803</v>
      </c>
      <c r="W425" s="23">
        <f t="shared" si="52"/>
        <v>3578</v>
      </c>
      <c r="X425" s="7"/>
      <c r="Y425" s="4"/>
      <c r="Z425" s="7"/>
      <c r="AA425" s="82">
        <v>300</v>
      </c>
      <c r="AB425" s="82"/>
      <c r="AC425" s="82"/>
      <c r="AE425" s="7" t="s">
        <v>472</v>
      </c>
    </row>
    <row r="426" spans="1:31" x14ac:dyDescent="0.2">
      <c r="A426" s="141" t="s">
        <v>323</v>
      </c>
      <c r="B426" s="9" t="s">
        <v>495</v>
      </c>
      <c r="C426" s="9" t="s">
        <v>495</v>
      </c>
      <c r="D426" s="9" t="s">
        <v>495</v>
      </c>
      <c r="E426" s="9"/>
      <c r="F426" s="9" t="s">
        <v>495</v>
      </c>
      <c r="G426" s="4">
        <v>11391</v>
      </c>
      <c r="H426" s="4">
        <f t="shared" si="50"/>
        <v>11391</v>
      </c>
      <c r="I426" s="24">
        <f t="shared" si="51"/>
        <v>1</v>
      </c>
      <c r="J426" s="23">
        <v>949.25</v>
      </c>
      <c r="K426" s="23">
        <v>949.25</v>
      </c>
      <c r="L426" s="23">
        <v>949.25</v>
      </c>
      <c r="M426" s="23">
        <v>949.25</v>
      </c>
      <c r="N426" s="23">
        <v>949.25</v>
      </c>
      <c r="O426" s="23">
        <v>949.25</v>
      </c>
      <c r="P426" s="23">
        <v>949.25</v>
      </c>
      <c r="Q426" s="23">
        <v>949.25</v>
      </c>
      <c r="R426" s="23">
        <v>949.25</v>
      </c>
      <c r="S426" s="23">
        <v>949.25</v>
      </c>
      <c r="T426" s="23">
        <v>949.25</v>
      </c>
      <c r="U426" s="23">
        <v>949.25</v>
      </c>
      <c r="V426" s="7" t="s">
        <v>804</v>
      </c>
      <c r="W426" s="23">
        <f t="shared" si="52"/>
        <v>0</v>
      </c>
      <c r="X426" s="7"/>
      <c r="Y426" s="4"/>
      <c r="Z426" s="7"/>
      <c r="AA426" s="82"/>
      <c r="AB426" s="82"/>
      <c r="AC426" s="82"/>
      <c r="AE426" s="7" t="s">
        <v>472</v>
      </c>
    </row>
    <row r="427" spans="1:31" x14ac:dyDescent="0.2">
      <c r="A427" s="141" t="s">
        <v>324</v>
      </c>
      <c r="B427" s="9" t="s">
        <v>495</v>
      </c>
      <c r="C427" s="9" t="s">
        <v>495</v>
      </c>
      <c r="D427" s="9" t="s">
        <v>495</v>
      </c>
      <c r="E427" s="9"/>
      <c r="F427" s="9" t="s">
        <v>495</v>
      </c>
      <c r="G427" s="4">
        <v>2130</v>
      </c>
      <c r="H427" s="4">
        <f t="shared" si="50"/>
        <v>2130</v>
      </c>
      <c r="I427" s="24">
        <f t="shared" si="51"/>
        <v>1</v>
      </c>
      <c r="J427" s="23">
        <v>177.5</v>
      </c>
      <c r="K427" s="23">
        <v>177.5</v>
      </c>
      <c r="L427" s="23">
        <v>177.5</v>
      </c>
      <c r="M427" s="23">
        <v>177.5</v>
      </c>
      <c r="N427" s="23">
        <v>1420</v>
      </c>
      <c r="O427" s="23"/>
      <c r="P427" s="23"/>
      <c r="Q427" s="23"/>
      <c r="R427" s="23"/>
      <c r="S427" s="23"/>
      <c r="T427" s="23"/>
      <c r="U427" s="23"/>
      <c r="V427" s="7" t="s">
        <v>805</v>
      </c>
      <c r="W427" s="23">
        <f t="shared" si="52"/>
        <v>0</v>
      </c>
      <c r="X427" s="7"/>
      <c r="Y427" s="4"/>
      <c r="Z427" s="7"/>
      <c r="AA427" s="82"/>
      <c r="AB427" s="82"/>
      <c r="AC427" s="82"/>
      <c r="AE427" s="7" t="s">
        <v>472</v>
      </c>
    </row>
    <row r="428" spans="1:31" x14ac:dyDescent="0.2">
      <c r="A428" s="141" t="s">
        <v>325</v>
      </c>
      <c r="B428" s="9" t="s">
        <v>495</v>
      </c>
      <c r="C428" s="9" t="s">
        <v>495</v>
      </c>
      <c r="D428" s="9" t="s">
        <v>495</v>
      </c>
      <c r="E428" s="9"/>
      <c r="F428" s="9" t="s">
        <v>495</v>
      </c>
      <c r="G428" s="4">
        <v>5000</v>
      </c>
      <c r="H428" s="4">
        <f t="shared" si="50"/>
        <v>4999.9999999999991</v>
      </c>
      <c r="I428" s="24">
        <f t="shared" si="51"/>
        <v>1</v>
      </c>
      <c r="J428" s="23">
        <v>416.74</v>
      </c>
      <c r="K428" s="23">
        <v>416.66</v>
      </c>
      <c r="L428" s="23">
        <v>416.66</v>
      </c>
      <c r="M428" s="23">
        <v>416.66</v>
      </c>
      <c r="N428" s="23">
        <v>416.66</v>
      </c>
      <c r="O428" s="23">
        <v>416.66</v>
      </c>
      <c r="P428" s="23">
        <v>416.66</v>
      </c>
      <c r="Q428" s="23">
        <v>416.66</v>
      </c>
      <c r="R428" s="23">
        <v>416.66</v>
      </c>
      <c r="S428" s="23">
        <v>416.66</v>
      </c>
      <c r="T428" s="23">
        <v>416.66</v>
      </c>
      <c r="U428" s="23">
        <v>416.66</v>
      </c>
      <c r="V428" s="7" t="s">
        <v>806</v>
      </c>
      <c r="W428" s="23">
        <f t="shared" si="52"/>
        <v>0</v>
      </c>
      <c r="X428" s="7"/>
      <c r="Y428" s="4"/>
      <c r="Z428" s="7"/>
      <c r="AA428" s="82"/>
      <c r="AB428" s="82"/>
      <c r="AC428" s="82"/>
      <c r="AE428" s="7" t="s">
        <v>475</v>
      </c>
    </row>
    <row r="429" spans="1:31" x14ac:dyDescent="0.2">
      <c r="A429" s="141" t="s">
        <v>326</v>
      </c>
      <c r="B429" s="9" t="s">
        <v>495</v>
      </c>
      <c r="C429" s="9" t="s">
        <v>495</v>
      </c>
      <c r="D429" s="9" t="s">
        <v>495</v>
      </c>
      <c r="E429" s="9"/>
      <c r="F429" s="9" t="s">
        <v>495</v>
      </c>
      <c r="G429" s="4">
        <v>35000</v>
      </c>
      <c r="H429" s="4">
        <f t="shared" si="50"/>
        <v>35000</v>
      </c>
      <c r="I429" s="24">
        <f t="shared" si="51"/>
        <v>1</v>
      </c>
      <c r="J429" s="23">
        <v>2916.74</v>
      </c>
      <c r="K429" s="23">
        <v>2916.66</v>
      </c>
      <c r="L429" s="23">
        <v>2916.66</v>
      </c>
      <c r="M429" s="23">
        <v>2916.66</v>
      </c>
      <c r="N429" s="23">
        <v>2916.66</v>
      </c>
      <c r="O429" s="23">
        <v>2916.66</v>
      </c>
      <c r="P429" s="23">
        <v>2916.66</v>
      </c>
      <c r="Q429" s="23">
        <v>2916.66</v>
      </c>
      <c r="R429" s="23">
        <v>2916.66</v>
      </c>
      <c r="S429" s="23">
        <v>2916.66</v>
      </c>
      <c r="T429" s="23">
        <v>2916.66</v>
      </c>
      <c r="U429" s="23">
        <v>2916.66</v>
      </c>
      <c r="V429" s="7" t="s">
        <v>807</v>
      </c>
      <c r="W429" s="23">
        <f t="shared" si="52"/>
        <v>0</v>
      </c>
      <c r="X429" s="7"/>
      <c r="Y429" s="4"/>
      <c r="Z429" s="7"/>
      <c r="AA429" s="82"/>
      <c r="AB429" s="82"/>
      <c r="AC429" s="82"/>
      <c r="AE429" s="7" t="s">
        <v>475</v>
      </c>
    </row>
    <row r="430" spans="1:31" x14ac:dyDescent="0.2">
      <c r="A430" s="141" t="s">
        <v>327</v>
      </c>
      <c r="B430" s="9" t="s">
        <v>495</v>
      </c>
      <c r="C430" s="9">
        <v>0</v>
      </c>
      <c r="D430" s="9">
        <v>0</v>
      </c>
      <c r="E430" s="9"/>
      <c r="F430" s="9" t="s">
        <v>495</v>
      </c>
      <c r="G430" s="4">
        <v>10000</v>
      </c>
      <c r="H430" s="4">
        <f t="shared" si="50"/>
        <v>10000</v>
      </c>
      <c r="I430" s="24">
        <f t="shared" si="51"/>
        <v>1</v>
      </c>
      <c r="J430" s="23">
        <v>833.37</v>
      </c>
      <c r="K430" s="23">
        <v>833.33</v>
      </c>
      <c r="L430" s="23">
        <v>833.33</v>
      </c>
      <c r="M430" s="23">
        <v>833.33</v>
      </c>
      <c r="N430" s="23">
        <v>833.33</v>
      </c>
      <c r="O430" s="23">
        <v>833.33</v>
      </c>
      <c r="P430" s="23">
        <v>833.33</v>
      </c>
      <c r="Q430" s="23">
        <v>833.33</v>
      </c>
      <c r="R430" s="23">
        <v>833.33</v>
      </c>
      <c r="S430" s="23">
        <v>833.33</v>
      </c>
      <c r="T430" s="23">
        <v>833.33</v>
      </c>
      <c r="U430" s="23">
        <v>833.33</v>
      </c>
      <c r="V430" s="7" t="s">
        <v>808</v>
      </c>
      <c r="W430" s="23">
        <f t="shared" si="52"/>
        <v>0</v>
      </c>
      <c r="X430" s="7"/>
      <c r="Y430" s="4"/>
      <c r="Z430" s="7"/>
      <c r="AA430" s="82"/>
      <c r="AB430" s="82"/>
      <c r="AC430" s="82"/>
      <c r="AE430" s="7" t="s">
        <v>475</v>
      </c>
    </row>
    <row r="431" spans="1:31" x14ac:dyDescent="0.2">
      <c r="A431" s="141" t="s">
        <v>328</v>
      </c>
      <c r="B431" s="9" t="s">
        <v>495</v>
      </c>
      <c r="C431" s="9" t="s">
        <v>495</v>
      </c>
      <c r="D431" s="9">
        <v>0</v>
      </c>
      <c r="E431" s="9"/>
      <c r="F431" s="9" t="s">
        <v>495</v>
      </c>
      <c r="G431" s="4">
        <v>69033</v>
      </c>
      <c r="H431" s="4">
        <f t="shared" si="50"/>
        <v>69033</v>
      </c>
      <c r="I431" s="24">
        <f t="shared" si="51"/>
        <v>1</v>
      </c>
      <c r="J431" s="23">
        <v>5752.75</v>
      </c>
      <c r="K431" s="23">
        <v>5752.75</v>
      </c>
      <c r="L431" s="23">
        <v>5752.75</v>
      </c>
      <c r="M431" s="23">
        <v>5752.75</v>
      </c>
      <c r="N431" s="23">
        <v>5752.75</v>
      </c>
      <c r="O431" s="23">
        <v>5752.75</v>
      </c>
      <c r="P431" s="23">
        <v>5752.75</v>
      </c>
      <c r="Q431" s="23">
        <v>5752.75</v>
      </c>
      <c r="R431" s="23">
        <v>5752.75</v>
      </c>
      <c r="S431" s="23">
        <v>5752.75</v>
      </c>
      <c r="T431" s="23">
        <v>5752.75</v>
      </c>
      <c r="U431" s="23">
        <v>5752.75</v>
      </c>
      <c r="V431" s="7" t="s">
        <v>809</v>
      </c>
      <c r="W431" s="23">
        <f t="shared" si="52"/>
        <v>0</v>
      </c>
      <c r="X431" s="7"/>
      <c r="Y431" s="4"/>
      <c r="Z431" s="7"/>
      <c r="AA431" s="82"/>
      <c r="AB431" s="82"/>
      <c r="AC431" s="82"/>
      <c r="AE431" s="7" t="s">
        <v>476</v>
      </c>
    </row>
    <row r="432" spans="1:31" x14ac:dyDescent="0.2">
      <c r="A432" s="141" t="s">
        <v>329</v>
      </c>
      <c r="B432" s="9" t="s">
        <v>495</v>
      </c>
      <c r="C432" s="9" t="s">
        <v>495</v>
      </c>
      <c r="D432" s="9" t="s">
        <v>495</v>
      </c>
      <c r="E432" s="9"/>
      <c r="F432" s="9">
        <v>0</v>
      </c>
      <c r="G432" s="4">
        <v>7670</v>
      </c>
      <c r="H432" s="4">
        <f t="shared" si="50"/>
        <v>3120</v>
      </c>
      <c r="I432" s="24">
        <f t="shared" si="51"/>
        <v>0.40679999999999999</v>
      </c>
      <c r="J432" s="23">
        <v>540</v>
      </c>
      <c r="K432" s="23">
        <v>540</v>
      </c>
      <c r="L432" s="23">
        <v>540</v>
      </c>
      <c r="M432" s="23"/>
      <c r="N432" s="23"/>
      <c r="O432" s="23"/>
      <c r="P432" s="23"/>
      <c r="Q432" s="23"/>
      <c r="R432" s="23"/>
      <c r="S432" s="23"/>
      <c r="T432" s="23"/>
      <c r="U432" s="23">
        <v>1500</v>
      </c>
      <c r="V432" s="7" t="s">
        <v>810</v>
      </c>
      <c r="W432" s="23">
        <f t="shared" si="52"/>
        <v>4550</v>
      </c>
      <c r="X432" s="7"/>
      <c r="Y432" s="4"/>
      <c r="Z432" s="7"/>
      <c r="AA432" s="82"/>
      <c r="AB432" s="82"/>
      <c r="AC432" s="82"/>
      <c r="AE432" s="7" t="s">
        <v>476</v>
      </c>
    </row>
    <row r="433" spans="1:31" x14ac:dyDescent="0.2">
      <c r="A433" s="141" t="s">
        <v>330</v>
      </c>
      <c r="B433" s="9" t="s">
        <v>495</v>
      </c>
      <c r="C433" s="9" t="s">
        <v>495</v>
      </c>
      <c r="D433" s="9" t="s">
        <v>495</v>
      </c>
      <c r="E433" s="9"/>
      <c r="F433" s="9" t="s">
        <v>495</v>
      </c>
      <c r="G433" s="4">
        <v>9814</v>
      </c>
      <c r="H433" s="4">
        <f t="shared" si="50"/>
        <v>9814</v>
      </c>
      <c r="I433" s="24">
        <f t="shared" si="51"/>
        <v>1</v>
      </c>
      <c r="J433" s="23">
        <v>0</v>
      </c>
      <c r="K433" s="23">
        <v>1595.66</v>
      </c>
      <c r="L433" s="23">
        <v>821.87</v>
      </c>
      <c r="M433" s="23">
        <v>821.83</v>
      </c>
      <c r="N433" s="23">
        <v>821.83</v>
      </c>
      <c r="O433" s="23">
        <v>821.83</v>
      </c>
      <c r="P433" s="23">
        <v>821.83</v>
      </c>
      <c r="Q433" s="23">
        <v>821.83</v>
      </c>
      <c r="R433" s="23">
        <v>821.83</v>
      </c>
      <c r="S433" s="23"/>
      <c r="T433" s="23"/>
      <c r="U433" s="23">
        <v>1643.66</v>
      </c>
      <c r="V433" s="7" t="s">
        <v>811</v>
      </c>
      <c r="W433" s="23">
        <f t="shared" si="52"/>
        <v>0</v>
      </c>
      <c r="X433" s="7"/>
      <c r="Y433" s="4"/>
      <c r="Z433" s="7"/>
      <c r="AA433" s="82">
        <v>821.83</v>
      </c>
      <c r="AB433" s="82"/>
      <c r="AC433" s="82"/>
      <c r="AE433" s="7" t="s">
        <v>474</v>
      </c>
    </row>
    <row r="434" spans="1:31" x14ac:dyDescent="0.2">
      <c r="A434" s="141" t="s">
        <v>331</v>
      </c>
      <c r="B434" s="9" t="s">
        <v>495</v>
      </c>
      <c r="C434" s="9" t="s">
        <v>495</v>
      </c>
      <c r="D434" s="9">
        <v>0</v>
      </c>
      <c r="E434" s="9"/>
      <c r="F434" s="9" t="s">
        <v>495</v>
      </c>
      <c r="G434" s="4">
        <v>11694</v>
      </c>
      <c r="H434" s="4">
        <f t="shared" si="50"/>
        <v>11694</v>
      </c>
      <c r="I434" s="24">
        <f t="shared" si="51"/>
        <v>1</v>
      </c>
      <c r="J434" s="23">
        <v>974.5</v>
      </c>
      <c r="K434" s="23">
        <v>974.5</v>
      </c>
      <c r="L434" s="23">
        <v>974.5</v>
      </c>
      <c r="M434" s="23">
        <v>974.5</v>
      </c>
      <c r="N434" s="23">
        <v>974.5</v>
      </c>
      <c r="O434" s="23">
        <v>974.5</v>
      </c>
      <c r="P434" s="23">
        <v>974.5</v>
      </c>
      <c r="Q434" s="23">
        <v>974.5</v>
      </c>
      <c r="R434" s="23">
        <v>974.5</v>
      </c>
      <c r="S434" s="23">
        <v>974.5</v>
      </c>
      <c r="T434" s="23">
        <v>974.5</v>
      </c>
      <c r="U434" s="23">
        <v>974.5</v>
      </c>
      <c r="V434" s="7" t="s">
        <v>812</v>
      </c>
      <c r="W434" s="23">
        <f t="shared" si="52"/>
        <v>0</v>
      </c>
      <c r="X434" s="7"/>
      <c r="Y434" s="4"/>
      <c r="Z434" s="7"/>
      <c r="AA434" s="82"/>
      <c r="AB434" s="82"/>
      <c r="AC434" s="82"/>
      <c r="AE434" s="7" t="s">
        <v>477</v>
      </c>
    </row>
    <row r="435" spans="1:31" x14ac:dyDescent="0.2">
      <c r="A435" s="141" t="s">
        <v>332</v>
      </c>
      <c r="B435" s="9" t="s">
        <v>495</v>
      </c>
      <c r="C435" s="9" t="s">
        <v>495</v>
      </c>
      <c r="D435" s="9" t="s">
        <v>495</v>
      </c>
      <c r="E435" s="9"/>
      <c r="F435" s="9" t="s">
        <v>495</v>
      </c>
      <c r="G435" s="4">
        <v>9014</v>
      </c>
      <c r="H435" s="4">
        <f t="shared" si="50"/>
        <v>9014</v>
      </c>
      <c r="I435" s="24">
        <f t="shared" si="51"/>
        <v>1</v>
      </c>
      <c r="J435" s="23">
        <v>751.24</v>
      </c>
      <c r="K435" s="23">
        <v>751.16</v>
      </c>
      <c r="L435" s="23">
        <v>751.16</v>
      </c>
      <c r="M435" s="23">
        <v>751.16</v>
      </c>
      <c r="N435" s="23">
        <v>751.16</v>
      </c>
      <c r="O435" s="23">
        <v>751.16</v>
      </c>
      <c r="P435" s="23">
        <v>751.16</v>
      </c>
      <c r="Q435" s="23">
        <v>751.16</v>
      </c>
      <c r="R435" s="23">
        <v>751.16</v>
      </c>
      <c r="S435" s="23">
        <v>751.16</v>
      </c>
      <c r="T435" s="23">
        <v>751.16</v>
      </c>
      <c r="U435" s="23">
        <v>751.16</v>
      </c>
      <c r="V435" s="7" t="s">
        <v>813</v>
      </c>
      <c r="W435" s="23">
        <f t="shared" si="52"/>
        <v>0</v>
      </c>
      <c r="X435" s="7"/>
      <c r="Y435" s="4"/>
      <c r="Z435" s="7"/>
      <c r="AA435" s="82"/>
      <c r="AB435" s="82"/>
      <c r="AC435" s="82"/>
      <c r="AE435" s="7" t="s">
        <v>477</v>
      </c>
    </row>
    <row r="436" spans="1:31" s="6" customFormat="1" x14ac:dyDescent="0.2">
      <c r="A436" s="144" t="s">
        <v>333</v>
      </c>
      <c r="B436" s="9" t="s">
        <v>495</v>
      </c>
      <c r="C436" s="9">
        <v>0</v>
      </c>
      <c r="D436" s="9">
        <v>0</v>
      </c>
      <c r="E436" s="9"/>
      <c r="F436" s="9" t="s">
        <v>495</v>
      </c>
      <c r="G436" s="4">
        <v>2397</v>
      </c>
      <c r="H436" s="4">
        <f t="shared" si="50"/>
        <v>2397</v>
      </c>
      <c r="I436" s="24">
        <f t="shared" si="51"/>
        <v>1</v>
      </c>
      <c r="J436" s="23">
        <v>199.75</v>
      </c>
      <c r="K436" s="23">
        <v>199.75</v>
      </c>
      <c r="L436" s="23">
        <v>199.75</v>
      </c>
      <c r="M436" s="23">
        <v>199.75</v>
      </c>
      <c r="N436" s="23">
        <v>199.75</v>
      </c>
      <c r="O436" s="23">
        <v>199.75</v>
      </c>
      <c r="P436" s="23">
        <v>199.75</v>
      </c>
      <c r="Q436" s="23">
        <v>199.75</v>
      </c>
      <c r="R436" s="23">
        <v>199.75</v>
      </c>
      <c r="S436" s="23">
        <v>199.75</v>
      </c>
      <c r="T436" s="23">
        <v>199.75</v>
      </c>
      <c r="U436" s="23">
        <v>199.75</v>
      </c>
      <c r="V436" s="7" t="s">
        <v>814</v>
      </c>
      <c r="W436" s="23">
        <f t="shared" si="52"/>
        <v>0</v>
      </c>
      <c r="X436" s="7"/>
      <c r="Y436" s="4"/>
      <c r="Z436" s="7"/>
      <c r="AA436" s="82"/>
      <c r="AB436" s="82"/>
      <c r="AC436" s="82"/>
      <c r="AE436" s="10" t="s">
        <v>477</v>
      </c>
    </row>
    <row r="437" spans="1:31" s="6" customFormat="1" x14ac:dyDescent="0.2">
      <c r="A437" s="144" t="s">
        <v>334</v>
      </c>
      <c r="B437" s="9" t="s">
        <v>495</v>
      </c>
      <c r="C437" s="9" t="s">
        <v>495</v>
      </c>
      <c r="D437" s="9">
        <v>0</v>
      </c>
      <c r="E437" s="9"/>
      <c r="F437" s="9">
        <v>0</v>
      </c>
      <c r="G437" s="4">
        <v>2359</v>
      </c>
      <c r="H437" s="4">
        <f t="shared" si="50"/>
        <v>2358.9300000000003</v>
      </c>
      <c r="I437" s="24">
        <f t="shared" si="51"/>
        <v>1</v>
      </c>
      <c r="J437" s="23">
        <v>202.93</v>
      </c>
      <c r="K437" s="23">
        <v>196</v>
      </c>
      <c r="L437" s="23">
        <v>196</v>
      </c>
      <c r="M437" s="23">
        <v>196</v>
      </c>
      <c r="N437" s="23">
        <v>196</v>
      </c>
      <c r="O437" s="23">
        <v>196</v>
      </c>
      <c r="P437" s="23">
        <v>196</v>
      </c>
      <c r="Q437" s="23">
        <v>196</v>
      </c>
      <c r="R437" s="23">
        <v>196</v>
      </c>
      <c r="S437" s="23">
        <v>196</v>
      </c>
      <c r="T437" s="23">
        <v>196</v>
      </c>
      <c r="U437" s="23">
        <v>196</v>
      </c>
      <c r="V437" s="7" t="s">
        <v>815</v>
      </c>
      <c r="W437" s="23">
        <f t="shared" si="52"/>
        <v>7.0000000000000007E-2</v>
      </c>
      <c r="X437" s="7"/>
      <c r="Y437" s="4"/>
      <c r="Z437" s="7"/>
      <c r="AA437" s="82"/>
      <c r="AB437" s="82"/>
      <c r="AC437" s="82"/>
      <c r="AE437" s="10" t="s">
        <v>477</v>
      </c>
    </row>
    <row r="438" spans="1:31" s="6" customFormat="1" x14ac:dyDescent="0.2">
      <c r="A438" s="144" t="s">
        <v>375</v>
      </c>
      <c r="B438" s="9" t="s">
        <v>495</v>
      </c>
      <c r="C438" s="9" t="s">
        <v>495</v>
      </c>
      <c r="D438" s="9" t="s">
        <v>495</v>
      </c>
      <c r="E438" s="9"/>
      <c r="F438" s="9" t="s">
        <v>495</v>
      </c>
      <c r="G438" s="4">
        <v>22107</v>
      </c>
      <c r="H438" s="4">
        <f t="shared" si="50"/>
        <v>22106.999999999996</v>
      </c>
      <c r="I438" s="24">
        <f t="shared" si="51"/>
        <v>1</v>
      </c>
      <c r="J438" s="23">
        <v>1806.13</v>
      </c>
      <c r="K438" s="23">
        <v>1845.57</v>
      </c>
      <c r="L438" s="23">
        <v>1845.53</v>
      </c>
      <c r="M438" s="23">
        <v>1845.53</v>
      </c>
      <c r="N438" s="23">
        <v>1845.53</v>
      </c>
      <c r="O438" s="23">
        <v>1845.53</v>
      </c>
      <c r="P438" s="23">
        <v>1845.53</v>
      </c>
      <c r="Q438" s="23">
        <v>1845.53</v>
      </c>
      <c r="R438" s="23">
        <v>1845.53</v>
      </c>
      <c r="S438" s="23">
        <v>1845.53</v>
      </c>
      <c r="T438" s="23">
        <v>1845.53</v>
      </c>
      <c r="U438" s="23">
        <v>1845.53</v>
      </c>
      <c r="V438" s="7" t="s">
        <v>816</v>
      </c>
      <c r="W438" s="23">
        <f t="shared" si="52"/>
        <v>0</v>
      </c>
      <c r="X438" s="7"/>
      <c r="Y438" s="4"/>
      <c r="Z438" s="7"/>
      <c r="AA438" s="82"/>
      <c r="AB438" s="82"/>
      <c r="AC438" s="82"/>
      <c r="AE438" s="10" t="s">
        <v>478</v>
      </c>
    </row>
    <row r="439" spans="1:31" s="6" customFormat="1" x14ac:dyDescent="0.2">
      <c r="A439" s="144" t="s">
        <v>335</v>
      </c>
      <c r="B439" s="9" t="s">
        <v>495</v>
      </c>
      <c r="C439" s="9" t="s">
        <v>495</v>
      </c>
      <c r="D439" s="9" t="s">
        <v>495</v>
      </c>
      <c r="E439" s="9"/>
      <c r="F439" s="9">
        <v>0</v>
      </c>
      <c r="G439" s="4">
        <v>4422</v>
      </c>
      <c r="H439" s="4">
        <f t="shared" si="50"/>
        <v>3000</v>
      </c>
      <c r="I439" s="24">
        <f t="shared" si="51"/>
        <v>0.6784</v>
      </c>
      <c r="J439" s="23">
        <v>0</v>
      </c>
      <c r="K439" s="23"/>
      <c r="L439" s="23"/>
      <c r="M439" s="23"/>
      <c r="N439" s="23"/>
      <c r="O439" s="23">
        <v>1000</v>
      </c>
      <c r="P439" s="23"/>
      <c r="Q439" s="23">
        <v>1000</v>
      </c>
      <c r="R439" s="23"/>
      <c r="S439" s="23"/>
      <c r="T439" s="23"/>
      <c r="U439" s="23">
        <v>1000</v>
      </c>
      <c r="V439" s="7" t="s">
        <v>817</v>
      </c>
      <c r="W439" s="23">
        <f t="shared" si="52"/>
        <v>1422</v>
      </c>
      <c r="X439" s="7"/>
      <c r="Y439" s="4"/>
      <c r="Z439" s="7"/>
      <c r="AA439" s="82"/>
      <c r="AB439" s="82"/>
      <c r="AC439" s="82"/>
      <c r="AE439" s="10" t="s">
        <v>478</v>
      </c>
    </row>
    <row r="440" spans="1:31" s="6" customFormat="1" x14ac:dyDescent="0.2">
      <c r="A440" s="144" t="s">
        <v>336</v>
      </c>
      <c r="B440" s="9">
        <v>0</v>
      </c>
      <c r="C440" s="9" t="s">
        <v>495</v>
      </c>
      <c r="D440" s="9" t="s">
        <v>495</v>
      </c>
      <c r="E440" s="9"/>
      <c r="F440" s="9">
        <v>0</v>
      </c>
      <c r="G440" s="4">
        <v>2947</v>
      </c>
      <c r="H440" s="4">
        <f t="shared" si="50"/>
        <v>2947</v>
      </c>
      <c r="I440" s="24">
        <f t="shared" si="51"/>
        <v>1</v>
      </c>
      <c r="J440" s="23">
        <v>0</v>
      </c>
      <c r="K440" s="23"/>
      <c r="L440" s="23">
        <v>2947</v>
      </c>
      <c r="M440" s="23"/>
      <c r="N440" s="23"/>
      <c r="O440" s="23"/>
      <c r="P440" s="23"/>
      <c r="Q440" s="23"/>
      <c r="R440" s="23"/>
      <c r="S440" s="23"/>
      <c r="T440" s="23"/>
      <c r="U440" s="23"/>
      <c r="V440" s="7" t="s">
        <v>818</v>
      </c>
      <c r="W440" s="23">
        <f t="shared" si="52"/>
        <v>0</v>
      </c>
      <c r="X440" s="7"/>
      <c r="Y440" s="4"/>
      <c r="Z440" s="7"/>
      <c r="AA440" s="82"/>
      <c r="AB440" s="82"/>
      <c r="AC440" s="82"/>
      <c r="AE440" s="10" t="s">
        <v>478</v>
      </c>
    </row>
    <row r="441" spans="1:31" s="6" customFormat="1" x14ac:dyDescent="0.2">
      <c r="A441" s="144" t="s">
        <v>337</v>
      </c>
      <c r="B441" s="9">
        <v>0</v>
      </c>
      <c r="C441" s="9" t="s">
        <v>495</v>
      </c>
      <c r="D441" s="9" t="s">
        <v>495</v>
      </c>
      <c r="E441" s="9"/>
      <c r="F441" s="9">
        <v>0</v>
      </c>
      <c r="G441" s="4">
        <v>27663</v>
      </c>
      <c r="H441" s="4">
        <f t="shared" si="50"/>
        <v>27663</v>
      </c>
      <c r="I441" s="24">
        <f t="shared" si="51"/>
        <v>1</v>
      </c>
      <c r="J441" s="23">
        <v>2766</v>
      </c>
      <c r="K441" s="23">
        <v>2769</v>
      </c>
      <c r="L441" s="23">
        <v>2766</v>
      </c>
      <c r="M441" s="23">
        <v>2766</v>
      </c>
      <c r="N441" s="23">
        <v>2766</v>
      </c>
      <c r="O441" s="23">
        <v>2766</v>
      </c>
      <c r="P441" s="23">
        <v>2766</v>
      </c>
      <c r="Q441" s="23">
        <v>2766</v>
      </c>
      <c r="R441" s="23">
        <v>2766</v>
      </c>
      <c r="S441" s="23">
        <v>2766</v>
      </c>
      <c r="T441" s="23"/>
      <c r="U441" s="23"/>
      <c r="V441" s="7" t="s">
        <v>819</v>
      </c>
      <c r="W441" s="23">
        <f t="shared" si="52"/>
        <v>0</v>
      </c>
      <c r="X441" s="7"/>
      <c r="Y441" s="4"/>
      <c r="Z441" s="7"/>
      <c r="AA441" s="82"/>
      <c r="AB441" s="82"/>
      <c r="AC441" s="82"/>
      <c r="AE441" s="10" t="s">
        <v>479</v>
      </c>
    </row>
    <row r="442" spans="1:31" s="6" customFormat="1" x14ac:dyDescent="0.2">
      <c r="A442" s="144" t="s">
        <v>338</v>
      </c>
      <c r="B442" s="9">
        <v>0</v>
      </c>
      <c r="C442" s="9">
        <v>0</v>
      </c>
      <c r="D442" s="9" t="s">
        <v>495</v>
      </c>
      <c r="E442" s="9"/>
      <c r="F442" s="9">
        <v>0</v>
      </c>
      <c r="G442" s="4">
        <v>10250</v>
      </c>
      <c r="H442" s="4">
        <f t="shared" si="50"/>
        <v>10500</v>
      </c>
      <c r="I442" s="24">
        <f t="shared" si="51"/>
        <v>1.0244</v>
      </c>
      <c r="J442" s="23">
        <v>0</v>
      </c>
      <c r="K442" s="23"/>
      <c r="L442" s="23">
        <v>6000</v>
      </c>
      <c r="M442" s="23"/>
      <c r="N442" s="23"/>
      <c r="O442" s="23"/>
      <c r="P442" s="23"/>
      <c r="Q442" s="23">
        <v>6000</v>
      </c>
      <c r="R442" s="23">
        <v>-1500</v>
      </c>
      <c r="S442" s="23"/>
      <c r="T442" s="23"/>
      <c r="U442" s="23"/>
      <c r="V442" s="7" t="s">
        <v>820</v>
      </c>
      <c r="W442" s="23">
        <f t="shared" si="52"/>
        <v>-250</v>
      </c>
      <c r="X442" s="7"/>
      <c r="Y442" s="4"/>
      <c r="Z442" s="7"/>
      <c r="AA442" s="82"/>
      <c r="AB442" s="82"/>
      <c r="AC442" s="82"/>
      <c r="AE442" s="10" t="s">
        <v>480</v>
      </c>
    </row>
    <row r="443" spans="1:31" s="6" customFormat="1" x14ac:dyDescent="0.2">
      <c r="A443" s="144" t="s">
        <v>339</v>
      </c>
      <c r="B443" s="9" t="s">
        <v>495</v>
      </c>
      <c r="C443" s="9" t="s">
        <v>495</v>
      </c>
      <c r="D443" s="9" t="s">
        <v>495</v>
      </c>
      <c r="E443" s="9"/>
      <c r="F443" s="9">
        <v>0</v>
      </c>
      <c r="G443" s="4">
        <v>6850</v>
      </c>
      <c r="H443" s="4">
        <f t="shared" si="50"/>
        <v>6850</v>
      </c>
      <c r="I443" s="24">
        <f t="shared" si="51"/>
        <v>1</v>
      </c>
      <c r="J443" s="23">
        <v>1000</v>
      </c>
      <c r="K443" s="23"/>
      <c r="L443" s="23">
        <v>1850</v>
      </c>
      <c r="M443" s="23"/>
      <c r="N443" s="23">
        <v>1000</v>
      </c>
      <c r="O443" s="23"/>
      <c r="P443" s="23">
        <v>1500</v>
      </c>
      <c r="Q443" s="23"/>
      <c r="R443" s="23">
        <v>1500</v>
      </c>
      <c r="S443" s="23"/>
      <c r="T443" s="23"/>
      <c r="U443" s="23"/>
      <c r="V443" s="7" t="s">
        <v>821</v>
      </c>
      <c r="W443" s="23">
        <f t="shared" si="52"/>
        <v>0</v>
      </c>
      <c r="X443" s="7"/>
      <c r="Y443" s="4"/>
      <c r="Z443" s="7"/>
      <c r="AA443" s="82"/>
      <c r="AB443" s="82"/>
      <c r="AC443" s="82"/>
      <c r="AE443" s="10" t="s">
        <v>480</v>
      </c>
    </row>
    <row r="444" spans="1:31" s="6" customFormat="1" x14ac:dyDescent="0.2">
      <c r="A444" s="144" t="s">
        <v>340</v>
      </c>
      <c r="B444" s="9">
        <v>0</v>
      </c>
      <c r="C444" s="9" t="s">
        <v>495</v>
      </c>
      <c r="D444" s="9" t="s">
        <v>495</v>
      </c>
      <c r="E444" s="9"/>
      <c r="F444" s="9">
        <v>0</v>
      </c>
      <c r="G444" s="4">
        <v>4819</v>
      </c>
      <c r="H444" s="4">
        <f t="shared" si="50"/>
        <v>4819</v>
      </c>
      <c r="I444" s="24">
        <f t="shared" si="51"/>
        <v>1</v>
      </c>
      <c r="J444" s="23">
        <v>0</v>
      </c>
      <c r="K444" s="23"/>
      <c r="L444" s="23"/>
      <c r="M444" s="23"/>
      <c r="N444" s="23"/>
      <c r="O444" s="23">
        <v>4819</v>
      </c>
      <c r="P444" s="23"/>
      <c r="Q444" s="23"/>
      <c r="R444" s="23"/>
      <c r="S444" s="23"/>
      <c r="T444" s="23"/>
      <c r="U444" s="23"/>
      <c r="V444" s="7" t="s">
        <v>822</v>
      </c>
      <c r="W444" s="23">
        <f t="shared" si="52"/>
        <v>0</v>
      </c>
      <c r="X444" s="7"/>
      <c r="Y444" s="4"/>
      <c r="Z444" s="7"/>
      <c r="AA444" s="82"/>
      <c r="AB444" s="82"/>
      <c r="AC444" s="82"/>
      <c r="AE444" s="10" t="s">
        <v>479</v>
      </c>
    </row>
    <row r="445" spans="1:31" s="6" customFormat="1" x14ac:dyDescent="0.2">
      <c r="A445" s="144" t="s">
        <v>341</v>
      </c>
      <c r="B445" s="9" t="s">
        <v>495</v>
      </c>
      <c r="C445" s="9">
        <v>0</v>
      </c>
      <c r="D445" s="9">
        <v>0</v>
      </c>
      <c r="E445" s="9"/>
      <c r="F445" s="9">
        <v>0</v>
      </c>
      <c r="G445" s="4">
        <v>10300</v>
      </c>
      <c r="H445" s="4">
        <f t="shared" si="50"/>
        <v>10300</v>
      </c>
      <c r="I445" s="24">
        <f t="shared" si="51"/>
        <v>1</v>
      </c>
      <c r="J445" s="23">
        <v>0</v>
      </c>
      <c r="K445" s="23"/>
      <c r="L445" s="23">
        <v>4000</v>
      </c>
      <c r="M445" s="23"/>
      <c r="N445" s="23"/>
      <c r="O445" s="23"/>
      <c r="P445" s="23">
        <v>6300</v>
      </c>
      <c r="Q445" s="23"/>
      <c r="R445" s="23"/>
      <c r="S445" s="23"/>
      <c r="T445" s="23"/>
      <c r="U445" s="23"/>
      <c r="V445" s="7" t="s">
        <v>823</v>
      </c>
      <c r="W445" s="23">
        <f t="shared" si="52"/>
        <v>0</v>
      </c>
      <c r="X445" s="7"/>
      <c r="Y445" s="4"/>
      <c r="Z445" s="7"/>
      <c r="AA445" s="82"/>
      <c r="AB445" s="82"/>
      <c r="AC445" s="82"/>
      <c r="AE445" s="10" t="s">
        <v>480</v>
      </c>
    </row>
    <row r="446" spans="1:31" x14ac:dyDescent="0.2">
      <c r="A446" s="141" t="s">
        <v>342</v>
      </c>
      <c r="B446" s="9" t="s">
        <v>495</v>
      </c>
      <c r="C446" s="9" t="s">
        <v>495</v>
      </c>
      <c r="D446" s="9" t="s">
        <v>495</v>
      </c>
      <c r="E446" s="9"/>
      <c r="F446" s="9" t="s">
        <v>495</v>
      </c>
      <c r="G446" s="4">
        <v>5603</v>
      </c>
      <c r="H446" s="4">
        <f t="shared" si="50"/>
        <v>5602.9999999999991</v>
      </c>
      <c r="I446" s="24">
        <f t="shared" si="51"/>
        <v>1</v>
      </c>
      <c r="J446" s="23">
        <v>466.99</v>
      </c>
      <c r="K446" s="23">
        <v>466.91</v>
      </c>
      <c r="L446" s="23">
        <v>466.91</v>
      </c>
      <c r="M446" s="23">
        <v>466.91</v>
      </c>
      <c r="N446" s="23">
        <v>466.91</v>
      </c>
      <c r="O446" s="23">
        <v>466.91</v>
      </c>
      <c r="P446" s="23">
        <v>466.91</v>
      </c>
      <c r="Q446" s="23">
        <v>466.91</v>
      </c>
      <c r="R446" s="23">
        <v>466.91</v>
      </c>
      <c r="S446" s="23">
        <v>466.91</v>
      </c>
      <c r="T446" s="23">
        <v>466.91</v>
      </c>
      <c r="U446" s="23">
        <v>466.91</v>
      </c>
      <c r="V446" s="7" t="s">
        <v>824</v>
      </c>
      <c r="W446" s="23">
        <f t="shared" si="52"/>
        <v>0</v>
      </c>
      <c r="X446" s="7"/>
      <c r="Y446" s="4"/>
      <c r="Z446" s="7"/>
      <c r="AA446" s="82"/>
      <c r="AB446" s="82"/>
      <c r="AC446" s="82"/>
      <c r="AE446" s="7" t="s">
        <v>477</v>
      </c>
    </row>
    <row r="447" spans="1:31" x14ac:dyDescent="0.2">
      <c r="A447" s="141" t="s">
        <v>343</v>
      </c>
      <c r="B447" s="9" t="s">
        <v>495</v>
      </c>
      <c r="C447" s="9" t="s">
        <v>495</v>
      </c>
      <c r="D447" s="9">
        <v>0</v>
      </c>
      <c r="E447" s="9"/>
      <c r="F447" s="9" t="s">
        <v>495</v>
      </c>
      <c r="G447" s="4">
        <v>9475</v>
      </c>
      <c r="H447" s="4">
        <f t="shared" si="50"/>
        <v>9475.0000000000018</v>
      </c>
      <c r="I447" s="24">
        <f t="shared" si="51"/>
        <v>1</v>
      </c>
      <c r="J447" s="23">
        <v>770.72</v>
      </c>
      <c r="K447" s="23">
        <v>770.72</v>
      </c>
      <c r="L447" s="23">
        <v>793.41</v>
      </c>
      <c r="M447" s="23">
        <v>793.35</v>
      </c>
      <c r="N447" s="23">
        <v>793.35</v>
      </c>
      <c r="O447" s="23">
        <v>793.35</v>
      </c>
      <c r="P447" s="23">
        <v>793.35</v>
      </c>
      <c r="Q447" s="23">
        <v>793.35</v>
      </c>
      <c r="R447" s="23">
        <v>793.35</v>
      </c>
      <c r="S447" s="23">
        <v>793.35</v>
      </c>
      <c r="T447" s="23">
        <v>793.35</v>
      </c>
      <c r="U447" s="23">
        <v>793.35</v>
      </c>
      <c r="V447" s="7" t="s">
        <v>825</v>
      </c>
      <c r="W447" s="23">
        <f t="shared" si="52"/>
        <v>0</v>
      </c>
      <c r="X447" s="7"/>
      <c r="Y447" s="4"/>
      <c r="Z447" s="7"/>
      <c r="AA447" s="82"/>
      <c r="AB447" s="82"/>
      <c r="AC447" s="82"/>
      <c r="AE447" s="7" t="s">
        <v>474</v>
      </c>
    </row>
    <row r="448" spans="1:31" x14ac:dyDescent="0.2">
      <c r="B448" s="9"/>
      <c r="C448" s="9"/>
      <c r="E448" s="9"/>
      <c r="F448" s="9"/>
      <c r="G448" s="19"/>
      <c r="H448" s="13"/>
      <c r="I448" s="5"/>
      <c r="W448" s="3"/>
    </row>
    <row r="449" spans="1:34" x14ac:dyDescent="0.2">
      <c r="W449" s="3"/>
    </row>
    <row r="450" spans="1:34" x14ac:dyDescent="0.2">
      <c r="A450" t="s">
        <v>6</v>
      </c>
      <c r="G450" s="17">
        <f>SUM(G401:G448)</f>
        <v>630674</v>
      </c>
      <c r="H450" s="11">
        <f>SUM(H401:H449)</f>
        <v>591124.86</v>
      </c>
      <c r="I450" s="4"/>
      <c r="J450" s="4">
        <f t="shared" ref="J450:U450" si="53">SUM(J401:J449)</f>
        <v>44977.919999999998</v>
      </c>
      <c r="K450" s="4">
        <f t="shared" si="53"/>
        <v>43845.810000000012</v>
      </c>
      <c r="L450" s="4">
        <f t="shared" si="53"/>
        <v>56557.510000000017</v>
      </c>
      <c r="M450" s="4">
        <f t="shared" si="53"/>
        <v>45081.69000000001</v>
      </c>
      <c r="N450" s="4">
        <f t="shared" si="53"/>
        <v>44908.000000000007</v>
      </c>
      <c r="O450" s="4">
        <f t="shared" si="53"/>
        <v>63215.390000000021</v>
      </c>
      <c r="P450" s="4">
        <f t="shared" si="53"/>
        <v>54794.590000000004</v>
      </c>
      <c r="Q450" s="4">
        <f t="shared" si="53"/>
        <v>48005.590000000004</v>
      </c>
      <c r="R450" s="4">
        <f t="shared" si="53"/>
        <v>39005.590000000004</v>
      </c>
      <c r="S450" s="4">
        <f t="shared" si="53"/>
        <v>43983.76</v>
      </c>
      <c r="T450" s="4">
        <f t="shared" si="53"/>
        <v>43367.76</v>
      </c>
      <c r="U450" s="4">
        <f t="shared" si="53"/>
        <v>62259.420000000035</v>
      </c>
      <c r="V450" s="77"/>
      <c r="W450" s="3">
        <f>G450-H450</f>
        <v>39549.140000000014</v>
      </c>
      <c r="X450" s="4"/>
      <c r="Y450" s="4"/>
      <c r="Z450" s="4"/>
      <c r="AA450" s="83">
        <f>SUM(AA401:AA449)</f>
        <v>1121.83</v>
      </c>
      <c r="AB450" s="83">
        <f t="shared" ref="AB450:AC450" si="54">SUM(AB401:AB449)</f>
        <v>0</v>
      </c>
      <c r="AC450" s="83">
        <f t="shared" si="54"/>
        <v>0</v>
      </c>
      <c r="AH450" s="4">
        <f>ROUND(SUM(J450:U450),0)</f>
        <v>590003</v>
      </c>
    </row>
    <row r="451" spans="1:34" x14ac:dyDescent="0.2">
      <c r="W451" s="3"/>
    </row>
    <row r="452" spans="1:34" x14ac:dyDescent="0.2">
      <c r="W452" s="3"/>
    </row>
    <row r="453" spans="1:34" ht="15.75" x14ac:dyDescent="0.25">
      <c r="G453" s="150" t="s">
        <v>17</v>
      </c>
      <c r="W453" s="3"/>
    </row>
    <row r="454" spans="1:34" x14ac:dyDescent="0.2">
      <c r="W454" s="3"/>
    </row>
    <row r="455" spans="1:34" ht="16.5" x14ac:dyDescent="0.25">
      <c r="B455" s="8"/>
      <c r="C455" s="8"/>
      <c r="E455" s="8"/>
      <c r="F455" s="8"/>
      <c r="G455" s="20" t="str">
        <f>$G$3</f>
        <v>2020 PARISH SHARE INFORMATION</v>
      </c>
      <c r="H455" s="14"/>
      <c r="W455" s="3"/>
    </row>
    <row r="456" spans="1:34" x14ac:dyDescent="0.2">
      <c r="G456" s="19"/>
      <c r="H456" s="13"/>
      <c r="W456" s="3"/>
    </row>
    <row r="457" spans="1:34" ht="16.5" x14ac:dyDescent="0.25">
      <c r="A457" s="1" t="s">
        <v>1</v>
      </c>
      <c r="B457" s="151" t="str">
        <f>$B$5</f>
        <v>RM</v>
      </c>
      <c r="C457" s="151" t="str">
        <f>$C$5</f>
        <v>RF</v>
      </c>
      <c r="D457" s="151" t="str">
        <f>$D$5</f>
        <v>Accts</v>
      </c>
      <c r="E457" s="151"/>
      <c r="F457" s="151" t="str">
        <f>$F$5</f>
        <v>Share DD</v>
      </c>
      <c r="G457" s="153" t="str">
        <f>$G$5</f>
        <v xml:space="preserve">2020 Share </v>
      </c>
      <c r="H457" s="154" t="str">
        <f>$H$5</f>
        <v xml:space="preserve">2020 Paid </v>
      </c>
      <c r="I457" s="154" t="str">
        <f>$I$5</f>
        <v xml:space="preserve">% Paid </v>
      </c>
      <c r="J457" s="155">
        <f>$J$5</f>
        <v>43861</v>
      </c>
      <c r="K457" s="155">
        <f>$K$5</f>
        <v>43890</v>
      </c>
      <c r="L457" s="155">
        <f>$L$5</f>
        <v>43921</v>
      </c>
      <c r="M457" s="155">
        <f>$M$5</f>
        <v>43951</v>
      </c>
      <c r="N457" s="155">
        <f>$N$5</f>
        <v>43982</v>
      </c>
      <c r="O457" s="155">
        <f>$O$5</f>
        <v>44012</v>
      </c>
      <c r="P457" s="155">
        <f>$P$5</f>
        <v>44043</v>
      </c>
      <c r="Q457" s="155">
        <f>$Q$5</f>
        <v>44074</v>
      </c>
      <c r="R457" s="155">
        <f>$R$5</f>
        <v>44104</v>
      </c>
      <c r="S457" s="155">
        <f>$S$5</f>
        <v>44135</v>
      </c>
      <c r="T457" s="155">
        <f>$T$5</f>
        <v>44165</v>
      </c>
      <c r="U457" s="155">
        <f>$U$5</f>
        <v>44196</v>
      </c>
      <c r="V457" s="78"/>
      <c r="W457" s="157" t="str">
        <f>$W$5</f>
        <v xml:space="preserve">Outstanding </v>
      </c>
      <c r="X457" s="2"/>
      <c r="Y457" s="2"/>
      <c r="Z457" s="2"/>
      <c r="AA457" s="173">
        <v>44197</v>
      </c>
      <c r="AB457" s="173">
        <v>44228</v>
      </c>
      <c r="AC457" s="173">
        <v>44256</v>
      </c>
      <c r="AE457" s="152" t="str">
        <f>$AE$5</f>
        <v>Benefice</v>
      </c>
    </row>
    <row r="458" spans="1:34" ht="16.5" x14ac:dyDescent="0.25">
      <c r="G458" s="146" t="s">
        <v>1040</v>
      </c>
      <c r="H458" s="147" t="s">
        <v>1040</v>
      </c>
      <c r="I458" s="148"/>
      <c r="J458" s="147" t="s">
        <v>1040</v>
      </c>
      <c r="K458" s="147" t="s">
        <v>1040</v>
      </c>
      <c r="L458" s="147" t="s">
        <v>1040</v>
      </c>
      <c r="M458" s="147" t="s">
        <v>1040</v>
      </c>
      <c r="N458" s="147" t="s">
        <v>1040</v>
      </c>
      <c r="O458" s="147" t="s">
        <v>1040</v>
      </c>
      <c r="P458" s="147" t="s">
        <v>1040</v>
      </c>
      <c r="Q458" s="147" t="s">
        <v>1040</v>
      </c>
      <c r="R458" s="147" t="s">
        <v>1040</v>
      </c>
      <c r="S458" s="147" t="s">
        <v>1040</v>
      </c>
      <c r="T458" s="147" t="s">
        <v>1040</v>
      </c>
      <c r="U458" s="147" t="s">
        <v>1040</v>
      </c>
      <c r="W458" s="3"/>
      <c r="AA458" s="174" t="s">
        <v>1040</v>
      </c>
      <c r="AB458" s="174" t="s">
        <v>1040</v>
      </c>
      <c r="AC458" s="174" t="s">
        <v>1040</v>
      </c>
    </row>
    <row r="459" spans="1:34" x14ac:dyDescent="0.2">
      <c r="W459" s="3"/>
    </row>
    <row r="460" spans="1:34" x14ac:dyDescent="0.2">
      <c r="A460" s="141" t="s">
        <v>344</v>
      </c>
      <c r="B460" s="9">
        <v>0</v>
      </c>
      <c r="C460" s="9" t="s">
        <v>495</v>
      </c>
      <c r="D460" s="9" t="s">
        <v>495</v>
      </c>
      <c r="E460" s="9"/>
      <c r="F460" s="9" t="s">
        <v>495</v>
      </c>
      <c r="G460" s="4">
        <v>57153</v>
      </c>
      <c r="H460" s="4">
        <f t="shared" ref="H460:H487" si="55">SUM(J460:U460)+SUM(AA460:AC460)</f>
        <v>57153</v>
      </c>
      <c r="I460" s="24">
        <f t="shared" ref="I460:I491" si="56">ROUND((H460/G460),4)</f>
        <v>1</v>
      </c>
      <c r="J460" s="23">
        <v>4380.8999999999996</v>
      </c>
      <c r="K460" s="23">
        <v>2619.1</v>
      </c>
      <c r="L460" s="23">
        <v>3500</v>
      </c>
      <c r="M460" s="23">
        <v>3500</v>
      </c>
      <c r="N460" s="23">
        <v>3500</v>
      </c>
      <c r="O460" s="23">
        <v>3500</v>
      </c>
      <c r="P460" s="23">
        <v>3500</v>
      </c>
      <c r="Q460" s="23">
        <v>3500</v>
      </c>
      <c r="R460" s="23">
        <v>3500</v>
      </c>
      <c r="S460" s="23">
        <v>3500</v>
      </c>
      <c r="T460" s="23">
        <v>18653</v>
      </c>
      <c r="U460" s="23">
        <v>3500</v>
      </c>
      <c r="V460" s="79" t="s">
        <v>826</v>
      </c>
      <c r="W460" s="23">
        <f t="shared" ref="W460:W487" si="57">G460-H460</f>
        <v>0</v>
      </c>
      <c r="X460" s="7"/>
      <c r="Y460" s="4"/>
      <c r="Z460" s="4"/>
      <c r="AA460" s="82"/>
      <c r="AB460" s="82"/>
      <c r="AC460" s="82"/>
      <c r="AD460" s="23"/>
      <c r="AE460" s="7" t="s">
        <v>483</v>
      </c>
    </row>
    <row r="461" spans="1:34" x14ac:dyDescent="0.2">
      <c r="A461" s="141" t="s">
        <v>345</v>
      </c>
      <c r="B461" s="9">
        <v>0</v>
      </c>
      <c r="C461" s="9">
        <v>0</v>
      </c>
      <c r="D461" s="9">
        <v>0</v>
      </c>
      <c r="E461" s="9"/>
      <c r="F461" s="9">
        <v>0</v>
      </c>
      <c r="G461" s="4">
        <v>6350</v>
      </c>
      <c r="H461" s="4">
        <f t="shared" si="55"/>
        <v>5569.44</v>
      </c>
      <c r="I461" s="24">
        <f t="shared" si="56"/>
        <v>0.87709999999999999</v>
      </c>
      <c r="J461" s="23">
        <v>464.12</v>
      </c>
      <c r="K461" s="23">
        <v>464.12</v>
      </c>
      <c r="L461" s="23">
        <v>464.12</v>
      </c>
      <c r="M461" s="23">
        <v>464.12</v>
      </c>
      <c r="N461" s="23">
        <v>464.12</v>
      </c>
      <c r="O461" s="23">
        <v>464.12</v>
      </c>
      <c r="P461" s="23">
        <v>464.12</v>
      </c>
      <c r="Q461" s="23">
        <v>464.12</v>
      </c>
      <c r="R461" s="23"/>
      <c r="S461" s="23"/>
      <c r="T461" s="23"/>
      <c r="U461" s="23"/>
      <c r="V461" s="79" t="s">
        <v>827</v>
      </c>
      <c r="W461" s="23">
        <f t="shared" si="57"/>
        <v>780.5600000000004</v>
      </c>
      <c r="X461" s="7"/>
      <c r="Y461" s="4"/>
      <c r="Z461" s="4"/>
      <c r="AA461" s="82">
        <v>1856.48</v>
      </c>
      <c r="AB461" s="82"/>
      <c r="AC461" s="82"/>
      <c r="AD461" s="23"/>
      <c r="AE461" s="7" t="s">
        <v>483</v>
      </c>
    </row>
    <row r="462" spans="1:34" x14ac:dyDescent="0.2">
      <c r="A462" s="141" t="s">
        <v>346</v>
      </c>
      <c r="B462" s="9" t="s">
        <v>495</v>
      </c>
      <c r="C462" s="9">
        <v>0</v>
      </c>
      <c r="D462" s="9">
        <v>0</v>
      </c>
      <c r="E462" s="9"/>
      <c r="F462" s="9" t="s">
        <v>495</v>
      </c>
      <c r="G462" s="4">
        <v>4165</v>
      </c>
      <c r="H462" s="4">
        <f t="shared" si="55"/>
        <v>4165.0000000000009</v>
      </c>
      <c r="I462" s="24">
        <f t="shared" si="56"/>
        <v>1</v>
      </c>
      <c r="J462" s="23">
        <v>353.3</v>
      </c>
      <c r="K462" s="23">
        <v>353.3</v>
      </c>
      <c r="L462" s="23">
        <v>345.84</v>
      </c>
      <c r="M462" s="23">
        <v>345.84</v>
      </c>
      <c r="N462" s="23">
        <v>345.84</v>
      </c>
      <c r="O462" s="23">
        <v>345.84</v>
      </c>
      <c r="P462" s="23">
        <v>345.84</v>
      </c>
      <c r="Q462" s="23">
        <v>345.84</v>
      </c>
      <c r="R462" s="23">
        <v>345.84</v>
      </c>
      <c r="S462" s="23">
        <v>345.84</v>
      </c>
      <c r="T462" s="23">
        <v>345.84</v>
      </c>
      <c r="U462" s="23">
        <v>345.84</v>
      </c>
      <c r="V462" s="79" t="s">
        <v>828</v>
      </c>
      <c r="W462" s="23">
        <f t="shared" si="57"/>
        <v>0</v>
      </c>
      <c r="X462" s="7"/>
      <c r="Y462" s="4"/>
      <c r="Z462" s="4"/>
      <c r="AA462" s="82"/>
      <c r="AB462" s="82"/>
      <c r="AC462" s="82"/>
      <c r="AD462" s="23"/>
      <c r="AE462" s="7" t="s">
        <v>481</v>
      </c>
    </row>
    <row r="463" spans="1:34" x14ac:dyDescent="0.2">
      <c r="A463" s="141" t="s">
        <v>347</v>
      </c>
      <c r="B463" s="9" t="s">
        <v>495</v>
      </c>
      <c r="C463" s="9" t="s">
        <v>495</v>
      </c>
      <c r="D463" s="9">
        <v>0</v>
      </c>
      <c r="E463" s="9"/>
      <c r="F463" s="9">
        <v>0</v>
      </c>
      <c r="G463" s="4">
        <v>25447</v>
      </c>
      <c r="H463" s="4">
        <f t="shared" si="55"/>
        <v>25447</v>
      </c>
      <c r="I463" s="24">
        <f t="shared" si="56"/>
        <v>1</v>
      </c>
      <c r="J463" s="23">
        <v>0</v>
      </c>
      <c r="K463" s="23"/>
      <c r="L463" s="23">
        <v>2000</v>
      </c>
      <c r="M463" s="23"/>
      <c r="N463" s="23"/>
      <c r="O463" s="23">
        <v>2000</v>
      </c>
      <c r="P463" s="23"/>
      <c r="Q463" s="23"/>
      <c r="R463" s="23">
        <v>2000</v>
      </c>
      <c r="S463" s="23"/>
      <c r="T463" s="23"/>
      <c r="U463" s="23">
        <v>19447</v>
      </c>
      <c r="V463" s="79" t="s">
        <v>829</v>
      </c>
      <c r="W463" s="23">
        <f t="shared" si="57"/>
        <v>0</v>
      </c>
      <c r="X463" s="7"/>
      <c r="Y463" s="4"/>
      <c r="Z463" s="4"/>
      <c r="AA463" s="82"/>
      <c r="AB463" s="82"/>
      <c r="AC463" s="82"/>
      <c r="AD463" s="23"/>
      <c r="AE463" s="7" t="s">
        <v>494</v>
      </c>
    </row>
    <row r="464" spans="1:34" x14ac:dyDescent="0.2">
      <c r="A464" s="141" t="s">
        <v>348</v>
      </c>
      <c r="B464" s="9">
        <v>0</v>
      </c>
      <c r="C464" s="9">
        <v>0</v>
      </c>
      <c r="D464" s="9">
        <v>0</v>
      </c>
      <c r="E464" s="9"/>
      <c r="F464" s="9">
        <v>0</v>
      </c>
      <c r="G464" s="4">
        <v>0</v>
      </c>
      <c r="H464" s="4">
        <f t="shared" si="55"/>
        <v>0</v>
      </c>
      <c r="I464" s="24" t="e">
        <f t="shared" si="56"/>
        <v>#DIV/0!</v>
      </c>
      <c r="J464" s="23">
        <v>0</v>
      </c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79" t="s">
        <v>830</v>
      </c>
      <c r="W464" s="23">
        <f t="shared" si="57"/>
        <v>0</v>
      </c>
      <c r="X464" s="7"/>
      <c r="Y464" s="4"/>
      <c r="Z464" s="4"/>
      <c r="AA464" s="82"/>
      <c r="AB464" s="82"/>
      <c r="AC464" s="82"/>
      <c r="AD464" s="23"/>
      <c r="AE464" s="7" t="s">
        <v>494</v>
      </c>
    </row>
    <row r="465" spans="1:31" x14ac:dyDescent="0.2">
      <c r="A465" s="141" t="s">
        <v>349</v>
      </c>
      <c r="B465" s="9" t="s">
        <v>495</v>
      </c>
      <c r="C465" s="9" t="s">
        <v>495</v>
      </c>
      <c r="D465" s="9" t="s">
        <v>495</v>
      </c>
      <c r="E465" s="9"/>
      <c r="F465" s="9" t="s">
        <v>495</v>
      </c>
      <c r="G465" s="4">
        <v>26411</v>
      </c>
      <c r="H465" s="4">
        <f t="shared" si="55"/>
        <v>12411</v>
      </c>
      <c r="I465" s="24">
        <f t="shared" si="56"/>
        <v>0.46989999999999998</v>
      </c>
      <c r="J465" s="23">
        <v>1411</v>
      </c>
      <c r="K465" s="23">
        <v>1000</v>
      </c>
      <c r="L465" s="23"/>
      <c r="M465" s="23">
        <v>1000</v>
      </c>
      <c r="N465" s="23">
        <v>1000</v>
      </c>
      <c r="O465" s="23">
        <v>1000</v>
      </c>
      <c r="P465" s="23">
        <v>1000</v>
      </c>
      <c r="Q465" s="23">
        <v>1000</v>
      </c>
      <c r="R465" s="23">
        <v>2000</v>
      </c>
      <c r="S465" s="23">
        <v>1000</v>
      </c>
      <c r="T465" s="23">
        <v>1000</v>
      </c>
      <c r="U465" s="23">
        <v>1000</v>
      </c>
      <c r="V465" s="79" t="s">
        <v>831</v>
      </c>
      <c r="W465" s="23">
        <f t="shared" si="57"/>
        <v>14000</v>
      </c>
      <c r="X465" s="7"/>
      <c r="Y465" s="4"/>
      <c r="Z465" s="4"/>
      <c r="AA465" s="82"/>
      <c r="AB465" s="82"/>
      <c r="AC465" s="82"/>
      <c r="AD465" s="23"/>
      <c r="AE465" s="7" t="s">
        <v>488</v>
      </c>
    </row>
    <row r="466" spans="1:31" x14ac:dyDescent="0.2">
      <c r="A466" s="141" t="s">
        <v>350</v>
      </c>
      <c r="B466" s="9" t="s">
        <v>495</v>
      </c>
      <c r="C466" s="9" t="s">
        <v>495</v>
      </c>
      <c r="D466" s="9">
        <v>0</v>
      </c>
      <c r="E466" s="9"/>
      <c r="F466" s="9">
        <v>0</v>
      </c>
      <c r="G466" s="4">
        <v>84193</v>
      </c>
      <c r="H466" s="4">
        <f t="shared" si="55"/>
        <v>84193</v>
      </c>
      <c r="I466" s="24">
        <f t="shared" si="56"/>
        <v>1</v>
      </c>
      <c r="J466" s="23">
        <v>8413</v>
      </c>
      <c r="K466" s="23">
        <v>8420</v>
      </c>
      <c r="L466" s="23">
        <v>8420</v>
      </c>
      <c r="M466" s="23">
        <v>8891</v>
      </c>
      <c r="N466" s="23">
        <v>8420</v>
      </c>
      <c r="O466" s="23">
        <v>8420</v>
      </c>
      <c r="P466" s="23">
        <v>9709.6</v>
      </c>
      <c r="Q466" s="23">
        <v>8420</v>
      </c>
      <c r="R466" s="23">
        <v>8420</v>
      </c>
      <c r="S466" s="23">
        <v>8420</v>
      </c>
      <c r="T466" s="23">
        <v>-1760.6</v>
      </c>
      <c r="U466" s="23"/>
      <c r="V466" s="79" t="s">
        <v>832</v>
      </c>
      <c r="W466" s="23">
        <f t="shared" si="57"/>
        <v>0</v>
      </c>
      <c r="X466" s="7"/>
      <c r="Y466" s="4"/>
      <c r="Z466" s="4"/>
      <c r="AA466" s="82"/>
      <c r="AB466" s="82"/>
      <c r="AC466" s="82"/>
      <c r="AD466" s="23"/>
      <c r="AE466" s="7" t="s">
        <v>997</v>
      </c>
    </row>
    <row r="467" spans="1:31" x14ac:dyDescent="0.2">
      <c r="A467" s="141" t="s">
        <v>351</v>
      </c>
      <c r="B467" s="9">
        <v>0</v>
      </c>
      <c r="C467" s="9" t="s">
        <v>495</v>
      </c>
      <c r="D467" s="9">
        <v>0</v>
      </c>
      <c r="E467" s="9"/>
      <c r="F467" s="9">
        <v>0</v>
      </c>
      <c r="G467" s="4">
        <v>15876</v>
      </c>
      <c r="H467" s="4">
        <f t="shared" si="55"/>
        <v>15876</v>
      </c>
      <c r="I467" s="24">
        <f t="shared" si="56"/>
        <v>1</v>
      </c>
      <c r="J467" s="23">
        <v>1323</v>
      </c>
      <c r="K467" s="23"/>
      <c r="L467" s="23">
        <v>1323</v>
      </c>
      <c r="M467" s="23">
        <v>2646</v>
      </c>
      <c r="N467" s="23"/>
      <c r="O467" s="23">
        <v>2646</v>
      </c>
      <c r="P467" s="23"/>
      <c r="Q467" s="23">
        <v>1323</v>
      </c>
      <c r="R467" s="23">
        <v>2646</v>
      </c>
      <c r="S467" s="23"/>
      <c r="T467" s="23">
        <v>1323</v>
      </c>
      <c r="U467" s="23">
        <v>2646</v>
      </c>
      <c r="V467" s="79" t="s">
        <v>833</v>
      </c>
      <c r="W467" s="23">
        <f t="shared" si="57"/>
        <v>0</v>
      </c>
      <c r="X467" s="7"/>
      <c r="Y467" s="4"/>
      <c r="Z467" s="4"/>
      <c r="AA467" s="82"/>
      <c r="AB467" s="82"/>
      <c r="AC467" s="82"/>
      <c r="AD467" s="23"/>
      <c r="AE467" s="7" t="s">
        <v>483</v>
      </c>
    </row>
    <row r="468" spans="1:31" x14ac:dyDescent="0.2">
      <c r="A468" s="141" t="s">
        <v>352</v>
      </c>
      <c r="B468" s="9" t="s">
        <v>495</v>
      </c>
      <c r="C468" s="9" t="s">
        <v>495</v>
      </c>
      <c r="D468" s="9">
        <v>0</v>
      </c>
      <c r="E468" s="9"/>
      <c r="F468" s="9">
        <v>0</v>
      </c>
      <c r="G468" s="4">
        <v>16440</v>
      </c>
      <c r="H468" s="4">
        <f t="shared" si="55"/>
        <v>16421.25</v>
      </c>
      <c r="I468" s="24">
        <f t="shared" si="56"/>
        <v>0.99890000000000001</v>
      </c>
      <c r="J468" s="23">
        <v>0</v>
      </c>
      <c r="K468" s="23"/>
      <c r="L468" s="23"/>
      <c r="M468" s="23"/>
      <c r="N468" s="23"/>
      <c r="O468" s="23"/>
      <c r="P468" s="23"/>
      <c r="Q468" s="23"/>
      <c r="R468" s="23"/>
      <c r="S468" s="23"/>
      <c r="T468" s="23">
        <v>16421.25</v>
      </c>
      <c r="U468" s="23"/>
      <c r="V468" s="79" t="s">
        <v>834</v>
      </c>
      <c r="W468" s="23">
        <f t="shared" si="57"/>
        <v>18.75</v>
      </c>
      <c r="X468" s="7"/>
      <c r="Y468" s="4"/>
      <c r="Z468" s="4"/>
      <c r="AA468" s="82"/>
      <c r="AB468" s="82"/>
      <c r="AC468" s="82"/>
      <c r="AD468" s="23"/>
      <c r="AE468" s="7" t="s">
        <v>481</v>
      </c>
    </row>
    <row r="469" spans="1:31" x14ac:dyDescent="0.2">
      <c r="A469" s="141" t="s">
        <v>353</v>
      </c>
      <c r="B469" s="9" t="s">
        <v>495</v>
      </c>
      <c r="C469" s="9" t="s">
        <v>495</v>
      </c>
      <c r="D469" s="9" t="s">
        <v>495</v>
      </c>
      <c r="E469" s="9"/>
      <c r="F469" s="9">
        <v>0</v>
      </c>
      <c r="G469" s="4">
        <v>16440</v>
      </c>
      <c r="H469" s="4">
        <f t="shared" si="55"/>
        <v>7400</v>
      </c>
      <c r="I469" s="24">
        <f t="shared" si="56"/>
        <v>0.4501</v>
      </c>
      <c r="J469" s="23">
        <v>0</v>
      </c>
      <c r="K469" s="23"/>
      <c r="L469" s="23"/>
      <c r="M469" s="23">
        <v>1000</v>
      </c>
      <c r="N469" s="23"/>
      <c r="O469" s="23">
        <v>1000</v>
      </c>
      <c r="P469" s="23"/>
      <c r="Q469" s="23"/>
      <c r="R469" s="23">
        <v>2400</v>
      </c>
      <c r="S469" s="23"/>
      <c r="T469" s="23"/>
      <c r="U469" s="23">
        <v>3000</v>
      </c>
      <c r="V469" s="79" t="s">
        <v>835</v>
      </c>
      <c r="W469" s="23">
        <f t="shared" si="57"/>
        <v>9040</v>
      </c>
      <c r="X469" s="7"/>
      <c r="Y469" s="4"/>
      <c r="Z469" s="4"/>
      <c r="AA469" s="82"/>
      <c r="AB469" s="82"/>
      <c r="AC469" s="82"/>
      <c r="AD469" s="23"/>
      <c r="AE469" s="7" t="s">
        <v>481</v>
      </c>
    </row>
    <row r="470" spans="1:31" x14ac:dyDescent="0.2">
      <c r="A470" s="141" t="s">
        <v>354</v>
      </c>
      <c r="B470" s="9" t="s">
        <v>495</v>
      </c>
      <c r="C470" s="9">
        <v>0</v>
      </c>
      <c r="D470" s="9" t="s">
        <v>495</v>
      </c>
      <c r="E470" s="9"/>
      <c r="F470" s="9">
        <v>0</v>
      </c>
      <c r="G470" s="4">
        <v>20881</v>
      </c>
      <c r="H470" s="4">
        <f t="shared" si="55"/>
        <v>4500</v>
      </c>
      <c r="I470" s="24">
        <f t="shared" si="56"/>
        <v>0.2155</v>
      </c>
      <c r="J470" s="23">
        <v>500</v>
      </c>
      <c r="K470" s="23"/>
      <c r="L470" s="23">
        <v>1000</v>
      </c>
      <c r="M470" s="23">
        <v>500</v>
      </c>
      <c r="N470" s="23"/>
      <c r="O470" s="23">
        <v>1000</v>
      </c>
      <c r="P470" s="23">
        <v>250</v>
      </c>
      <c r="Q470" s="23"/>
      <c r="R470" s="23">
        <v>500</v>
      </c>
      <c r="S470" s="23">
        <v>250</v>
      </c>
      <c r="T470" s="23">
        <v>250</v>
      </c>
      <c r="U470" s="23">
        <v>250</v>
      </c>
      <c r="V470" s="79" t="s">
        <v>836</v>
      </c>
      <c r="W470" s="23">
        <f t="shared" si="57"/>
        <v>16381</v>
      </c>
      <c r="X470" s="7"/>
      <c r="Y470" s="4"/>
      <c r="Z470" s="4"/>
      <c r="AA470" s="82"/>
      <c r="AB470" s="82"/>
      <c r="AC470" s="82"/>
      <c r="AD470" s="23"/>
      <c r="AE470" s="7" t="s">
        <v>488</v>
      </c>
    </row>
    <row r="471" spans="1:31" x14ac:dyDescent="0.2">
      <c r="A471" s="141" t="s">
        <v>355</v>
      </c>
      <c r="B471" s="9" t="s">
        <v>495</v>
      </c>
      <c r="C471" s="9" t="s">
        <v>495</v>
      </c>
      <c r="D471" s="9" t="s">
        <v>495</v>
      </c>
      <c r="E471" s="9"/>
      <c r="F471" s="9" t="s">
        <v>495</v>
      </c>
      <c r="G471" s="4">
        <v>59729</v>
      </c>
      <c r="H471" s="4">
        <f t="shared" si="55"/>
        <v>45108.770000000004</v>
      </c>
      <c r="I471" s="24">
        <f t="shared" si="56"/>
        <v>0.75519999999999998</v>
      </c>
      <c r="J471" s="23">
        <v>4977.49</v>
      </c>
      <c r="K471" s="23">
        <v>4977.41</v>
      </c>
      <c r="L471" s="23">
        <v>4977.41</v>
      </c>
      <c r="M471" s="23">
        <v>4977.41</v>
      </c>
      <c r="N471" s="23"/>
      <c r="O471" s="23">
        <v>4977.41</v>
      </c>
      <c r="P471" s="23"/>
      <c r="Q471" s="23"/>
      <c r="R471" s="23">
        <v>4977.41</v>
      </c>
      <c r="S471" s="23">
        <v>4977.41</v>
      </c>
      <c r="T471" s="23">
        <v>4977.41</v>
      </c>
      <c r="U471" s="23">
        <v>4977.41</v>
      </c>
      <c r="V471" s="79" t="s">
        <v>837</v>
      </c>
      <c r="W471" s="23">
        <f t="shared" si="57"/>
        <v>14620.229999999996</v>
      </c>
      <c r="X471" s="7"/>
      <c r="Y471" s="4"/>
      <c r="Z471" s="4"/>
      <c r="AA471" s="82"/>
      <c r="AB471" s="82">
        <v>312</v>
      </c>
      <c r="AC471" s="82"/>
      <c r="AD471" s="23"/>
      <c r="AE471" s="7" t="s">
        <v>484</v>
      </c>
    </row>
    <row r="472" spans="1:31" x14ac:dyDescent="0.2">
      <c r="A472" s="141" t="s">
        <v>356</v>
      </c>
      <c r="B472" s="9" t="s">
        <v>495</v>
      </c>
      <c r="C472" s="9" t="s">
        <v>495</v>
      </c>
      <c r="D472" s="9" t="s">
        <v>495</v>
      </c>
      <c r="E472" s="9"/>
      <c r="F472" s="9">
        <v>0</v>
      </c>
      <c r="G472" s="4">
        <v>10220</v>
      </c>
      <c r="H472" s="4">
        <f t="shared" si="55"/>
        <v>5000</v>
      </c>
      <c r="I472" s="24">
        <f t="shared" si="56"/>
        <v>0.48920000000000002</v>
      </c>
      <c r="J472" s="23">
        <v>0</v>
      </c>
      <c r="K472" s="23"/>
      <c r="L472" s="23">
        <v>2500</v>
      </c>
      <c r="M472" s="23"/>
      <c r="N472" s="23"/>
      <c r="O472" s="23"/>
      <c r="P472" s="23"/>
      <c r="Q472" s="23"/>
      <c r="R472" s="23">
        <v>2500</v>
      </c>
      <c r="S472" s="23"/>
      <c r="T472" s="23"/>
      <c r="U472" s="23"/>
      <c r="V472" s="79" t="s">
        <v>838</v>
      </c>
      <c r="W472" s="23">
        <f t="shared" si="57"/>
        <v>5220</v>
      </c>
      <c r="X472" s="7"/>
      <c r="Y472" s="4"/>
      <c r="Z472" s="4"/>
      <c r="AA472" s="82"/>
      <c r="AB472" s="82"/>
      <c r="AC472" s="82"/>
      <c r="AD472" s="23"/>
      <c r="AE472" s="7" t="s">
        <v>481</v>
      </c>
    </row>
    <row r="473" spans="1:31" x14ac:dyDescent="0.2">
      <c r="A473" s="141" t="s">
        <v>357</v>
      </c>
      <c r="B473" s="9" t="s">
        <v>495</v>
      </c>
      <c r="C473" s="9" t="s">
        <v>495</v>
      </c>
      <c r="D473" s="9">
        <v>0</v>
      </c>
      <c r="E473" s="9"/>
      <c r="F473" s="9" t="s">
        <v>495</v>
      </c>
      <c r="G473" s="4">
        <v>18420</v>
      </c>
      <c r="H473" s="4">
        <f t="shared" si="55"/>
        <v>16420</v>
      </c>
      <c r="I473" s="24">
        <f t="shared" si="56"/>
        <v>0.89139999999999997</v>
      </c>
      <c r="J473" s="23">
        <v>700</v>
      </c>
      <c r="K473" s="23">
        <v>700</v>
      </c>
      <c r="L473" s="23">
        <v>700</v>
      </c>
      <c r="M473" s="23">
        <v>700</v>
      </c>
      <c r="N473" s="23">
        <v>700</v>
      </c>
      <c r="O473" s="23">
        <v>3200</v>
      </c>
      <c r="P473" s="23">
        <v>700</v>
      </c>
      <c r="Q473" s="23">
        <v>700</v>
      </c>
      <c r="R473" s="23">
        <v>700</v>
      </c>
      <c r="S473" s="23">
        <v>700</v>
      </c>
      <c r="T473" s="23">
        <v>700</v>
      </c>
      <c r="U473" s="23">
        <v>6220</v>
      </c>
      <c r="V473" s="79" t="s">
        <v>839</v>
      </c>
      <c r="W473" s="23">
        <f t="shared" si="57"/>
        <v>2000</v>
      </c>
      <c r="X473" s="7"/>
      <c r="Y473" s="4"/>
      <c r="Z473" s="4"/>
      <c r="AA473" s="82"/>
      <c r="AB473" s="82"/>
      <c r="AC473" s="82"/>
      <c r="AD473" s="23"/>
      <c r="AE473" s="7" t="s">
        <v>481</v>
      </c>
    </row>
    <row r="474" spans="1:31" x14ac:dyDescent="0.2">
      <c r="A474" s="141" t="s">
        <v>358</v>
      </c>
      <c r="B474" s="9" t="s">
        <v>495</v>
      </c>
      <c r="C474" s="9" t="s">
        <v>495</v>
      </c>
      <c r="D474" s="9" t="s">
        <v>495</v>
      </c>
      <c r="E474" s="9"/>
      <c r="F474" s="9" t="s">
        <v>495</v>
      </c>
      <c r="G474" s="4">
        <v>72321</v>
      </c>
      <c r="H474" s="4">
        <f t="shared" si="55"/>
        <v>61000</v>
      </c>
      <c r="I474" s="24">
        <f t="shared" si="56"/>
        <v>0.84350000000000003</v>
      </c>
      <c r="J474" s="23">
        <v>3000</v>
      </c>
      <c r="K474" s="23">
        <v>3000</v>
      </c>
      <c r="L474" s="23">
        <v>3000</v>
      </c>
      <c r="M474" s="23">
        <v>3000</v>
      </c>
      <c r="N474" s="23">
        <v>3000</v>
      </c>
      <c r="O474" s="23">
        <v>3000</v>
      </c>
      <c r="P474" s="23">
        <v>3000</v>
      </c>
      <c r="Q474" s="23">
        <v>3000</v>
      </c>
      <c r="R474" s="23">
        <v>3000</v>
      </c>
      <c r="S474" s="23">
        <v>3000</v>
      </c>
      <c r="T474" s="23">
        <v>13000</v>
      </c>
      <c r="U474" s="23">
        <v>13000</v>
      </c>
      <c r="V474" s="79" t="s">
        <v>840</v>
      </c>
      <c r="W474" s="23">
        <f t="shared" si="57"/>
        <v>11321</v>
      </c>
      <c r="X474" s="7"/>
      <c r="Y474" s="4"/>
      <c r="Z474" s="4"/>
      <c r="AA474" s="175">
        <v>5000</v>
      </c>
      <c r="AB474" s="82"/>
      <c r="AC474" s="82"/>
      <c r="AD474" s="23"/>
      <c r="AE474" s="7" t="s">
        <v>489</v>
      </c>
    </row>
    <row r="475" spans="1:31" x14ac:dyDescent="0.2">
      <c r="A475" s="141" t="s">
        <v>359</v>
      </c>
      <c r="B475" s="9" t="s">
        <v>495</v>
      </c>
      <c r="C475" s="9" t="s">
        <v>495</v>
      </c>
      <c r="D475" s="9" t="s">
        <v>495</v>
      </c>
      <c r="E475" s="9"/>
      <c r="F475" s="9">
        <v>0</v>
      </c>
      <c r="G475" s="4">
        <v>18482</v>
      </c>
      <c r="H475" s="4">
        <f t="shared" si="55"/>
        <v>18482</v>
      </c>
      <c r="I475" s="24">
        <f t="shared" si="56"/>
        <v>1</v>
      </c>
      <c r="J475" s="23">
        <v>1982</v>
      </c>
      <c r="K475" s="23">
        <v>1500</v>
      </c>
      <c r="L475" s="23">
        <v>1500</v>
      </c>
      <c r="M475" s="23">
        <v>1500</v>
      </c>
      <c r="N475" s="23">
        <v>1500</v>
      </c>
      <c r="O475" s="23">
        <v>1500</v>
      </c>
      <c r="P475" s="23">
        <v>1500</v>
      </c>
      <c r="Q475" s="23">
        <v>1500</v>
      </c>
      <c r="R475" s="23">
        <v>1500</v>
      </c>
      <c r="S475" s="23">
        <v>1500</v>
      </c>
      <c r="T475" s="23">
        <v>1500</v>
      </c>
      <c r="U475" s="23">
        <v>1500</v>
      </c>
      <c r="V475" s="79" t="s">
        <v>841</v>
      </c>
      <c r="W475" s="23">
        <f t="shared" si="57"/>
        <v>0</v>
      </c>
      <c r="X475" s="7"/>
      <c r="Y475" s="4"/>
      <c r="Z475" s="4"/>
      <c r="AA475" s="82"/>
      <c r="AB475" s="82"/>
      <c r="AC475" s="82"/>
      <c r="AD475" s="23"/>
      <c r="AE475" s="7" t="s">
        <v>482</v>
      </c>
    </row>
    <row r="476" spans="1:31" x14ac:dyDescent="0.2">
      <c r="A476" s="141" t="s">
        <v>360</v>
      </c>
      <c r="B476" s="9" t="s">
        <v>495</v>
      </c>
      <c r="C476" s="9" t="s">
        <v>495</v>
      </c>
      <c r="D476" s="9" t="s">
        <v>495</v>
      </c>
      <c r="E476" s="9"/>
      <c r="F476" s="9">
        <v>0</v>
      </c>
      <c r="G476" s="4">
        <v>22717</v>
      </c>
      <c r="H476" s="4">
        <f t="shared" si="55"/>
        <v>16750</v>
      </c>
      <c r="I476" s="24">
        <f t="shared" si="56"/>
        <v>0.73729999999999996</v>
      </c>
      <c r="J476" s="23">
        <v>0</v>
      </c>
      <c r="K476" s="23"/>
      <c r="L476" s="23">
        <v>2800</v>
      </c>
      <c r="M476" s="23"/>
      <c r="N476" s="23"/>
      <c r="O476" s="23">
        <v>6200</v>
      </c>
      <c r="P476" s="23">
        <v>1000</v>
      </c>
      <c r="Q476" s="23"/>
      <c r="R476" s="23">
        <v>3000</v>
      </c>
      <c r="S476" s="23">
        <v>2000</v>
      </c>
      <c r="T476" s="23"/>
      <c r="U476" s="23">
        <v>1750</v>
      </c>
      <c r="V476" s="79" t="s">
        <v>842</v>
      </c>
      <c r="W476" s="23">
        <f t="shared" si="57"/>
        <v>5967</v>
      </c>
      <c r="X476" s="7"/>
      <c r="Y476" s="4"/>
      <c r="Z476" s="4"/>
      <c r="AA476" s="82"/>
      <c r="AB476" s="82"/>
      <c r="AC476" s="82"/>
      <c r="AD476" s="23"/>
      <c r="AE476" s="7" t="s">
        <v>490</v>
      </c>
    </row>
    <row r="477" spans="1:31" x14ac:dyDescent="0.2">
      <c r="A477" s="141" t="s">
        <v>361</v>
      </c>
      <c r="B477" s="9" t="s">
        <v>495</v>
      </c>
      <c r="C477" s="9" t="s">
        <v>495</v>
      </c>
      <c r="D477" s="9">
        <v>0</v>
      </c>
      <c r="E477" s="9"/>
      <c r="F477" s="9" t="s">
        <v>495</v>
      </c>
      <c r="G477" s="4">
        <v>52620</v>
      </c>
      <c r="H477" s="4">
        <f t="shared" si="55"/>
        <v>52620</v>
      </c>
      <c r="I477" s="24">
        <f t="shared" si="56"/>
        <v>1</v>
      </c>
      <c r="J477" s="23">
        <v>2885</v>
      </c>
      <c r="K477" s="23">
        <v>5885</v>
      </c>
      <c r="L477" s="23">
        <v>4385</v>
      </c>
      <c r="M477" s="23">
        <v>4385</v>
      </c>
      <c r="N477" s="23">
        <v>4385</v>
      </c>
      <c r="O477" s="23">
        <v>4385</v>
      </c>
      <c r="P477" s="23">
        <v>4385</v>
      </c>
      <c r="Q477" s="23">
        <v>4385</v>
      </c>
      <c r="R477" s="23">
        <v>4385</v>
      </c>
      <c r="S477" s="23">
        <v>4385</v>
      </c>
      <c r="T477" s="23">
        <v>2885</v>
      </c>
      <c r="U477" s="23">
        <v>5885</v>
      </c>
      <c r="V477" s="79" t="s">
        <v>843</v>
      </c>
      <c r="W477" s="23">
        <f t="shared" si="57"/>
        <v>0</v>
      </c>
      <c r="X477" s="7"/>
      <c r="Y477" s="4"/>
      <c r="Z477" s="4"/>
      <c r="AA477" s="82"/>
      <c r="AB477" s="82"/>
      <c r="AC477" s="82"/>
      <c r="AD477" s="23"/>
      <c r="AE477" s="7" t="s">
        <v>485</v>
      </c>
    </row>
    <row r="478" spans="1:31" x14ac:dyDescent="0.2">
      <c r="A478" s="141" t="s">
        <v>362</v>
      </c>
      <c r="B478" s="9" t="s">
        <v>495</v>
      </c>
      <c r="C478" s="9" t="s">
        <v>495</v>
      </c>
      <c r="D478" s="9" t="s">
        <v>495</v>
      </c>
      <c r="E478" s="9"/>
      <c r="F478" s="9" t="s">
        <v>495</v>
      </c>
      <c r="G478" s="4">
        <v>24665</v>
      </c>
      <c r="H478" s="4">
        <f t="shared" si="55"/>
        <v>13500</v>
      </c>
      <c r="I478" s="24">
        <f t="shared" si="56"/>
        <v>0.54730000000000001</v>
      </c>
      <c r="J478" s="23">
        <v>1500</v>
      </c>
      <c r="K478" s="23">
        <v>1500</v>
      </c>
      <c r="L478" s="23">
        <v>1500</v>
      </c>
      <c r="M478" s="23">
        <v>1500</v>
      </c>
      <c r="N478" s="23">
        <v>1500</v>
      </c>
      <c r="O478" s="23">
        <v>1500</v>
      </c>
      <c r="P478" s="23">
        <v>1500</v>
      </c>
      <c r="Q478" s="23">
        <v>1500</v>
      </c>
      <c r="R478" s="23">
        <v>1500</v>
      </c>
      <c r="S478" s="23"/>
      <c r="T478" s="23"/>
      <c r="U478" s="23"/>
      <c r="V478" s="79" t="s">
        <v>844</v>
      </c>
      <c r="W478" s="23">
        <f t="shared" si="57"/>
        <v>11165</v>
      </c>
      <c r="X478" s="7"/>
      <c r="Y478" s="4"/>
      <c r="Z478" s="4"/>
      <c r="AA478" s="82"/>
      <c r="AB478" s="82"/>
      <c r="AC478" s="82"/>
      <c r="AD478" s="23"/>
      <c r="AE478" s="7" t="s">
        <v>491</v>
      </c>
    </row>
    <row r="479" spans="1:31" x14ac:dyDescent="0.2">
      <c r="A479" s="141" t="s">
        <v>363</v>
      </c>
      <c r="B479" s="9" t="s">
        <v>495</v>
      </c>
      <c r="C479" s="9" t="s">
        <v>495</v>
      </c>
      <c r="D479" s="9" t="s">
        <v>495</v>
      </c>
      <c r="E479" s="9"/>
      <c r="F479" s="9" t="s">
        <v>495</v>
      </c>
      <c r="G479" s="4">
        <v>47703</v>
      </c>
      <c r="H479" s="4">
        <f t="shared" si="55"/>
        <v>47703</v>
      </c>
      <c r="I479" s="24">
        <f t="shared" si="56"/>
        <v>1</v>
      </c>
      <c r="J479" s="23">
        <v>3975.25</v>
      </c>
      <c r="K479" s="23">
        <v>3975.25</v>
      </c>
      <c r="L479" s="23">
        <v>3975.25</v>
      </c>
      <c r="M479" s="23">
        <v>3975.25</v>
      </c>
      <c r="N479" s="23">
        <v>3975.25</v>
      </c>
      <c r="O479" s="23">
        <v>3975.25</v>
      </c>
      <c r="P479" s="23">
        <v>3975.25</v>
      </c>
      <c r="Q479" s="23">
        <v>3975.25</v>
      </c>
      <c r="R479" s="23">
        <v>3975.25</v>
      </c>
      <c r="S479" s="23">
        <v>3975.25</v>
      </c>
      <c r="T479" s="23">
        <v>3975.25</v>
      </c>
      <c r="U479" s="23">
        <v>3975.25</v>
      </c>
      <c r="V479" s="79" t="s">
        <v>845</v>
      </c>
      <c r="W479" s="23">
        <f t="shared" si="57"/>
        <v>0</v>
      </c>
      <c r="X479" s="7"/>
      <c r="Y479" s="4"/>
      <c r="Z479" s="4"/>
      <c r="AA479" s="82"/>
      <c r="AB479" s="82"/>
      <c r="AC479" s="82"/>
      <c r="AD479" s="23"/>
      <c r="AE479" s="7" t="s">
        <v>492</v>
      </c>
    </row>
    <row r="480" spans="1:31" x14ac:dyDescent="0.2">
      <c r="A480" s="141" t="s">
        <v>364</v>
      </c>
      <c r="B480" s="9" t="s">
        <v>495</v>
      </c>
      <c r="C480" s="9" t="s">
        <v>495</v>
      </c>
      <c r="D480" s="9" t="s">
        <v>495</v>
      </c>
      <c r="E480" s="9"/>
      <c r="F480" s="9">
        <v>0</v>
      </c>
      <c r="G480" s="4">
        <v>67268</v>
      </c>
      <c r="H480" s="4">
        <f t="shared" si="55"/>
        <v>67268</v>
      </c>
      <c r="I480" s="24">
        <f t="shared" si="56"/>
        <v>1</v>
      </c>
      <c r="J480" s="23">
        <v>0</v>
      </c>
      <c r="K480" s="23"/>
      <c r="L480" s="23">
        <v>20000</v>
      </c>
      <c r="M480" s="23"/>
      <c r="N480" s="23"/>
      <c r="O480" s="23">
        <v>20000</v>
      </c>
      <c r="P480" s="23"/>
      <c r="Q480" s="23"/>
      <c r="R480" s="23"/>
      <c r="S480" s="23">
        <v>20000</v>
      </c>
      <c r="T480" s="23">
        <v>7268</v>
      </c>
      <c r="U480" s="23"/>
      <c r="V480" s="79" t="s">
        <v>846</v>
      </c>
      <c r="W480" s="23">
        <f t="shared" si="57"/>
        <v>0</v>
      </c>
      <c r="X480" s="7"/>
      <c r="Y480" s="4"/>
      <c r="Z480" s="4"/>
      <c r="AA480" s="82"/>
      <c r="AB480" s="82"/>
      <c r="AC480" s="82"/>
      <c r="AD480" s="23"/>
      <c r="AE480" s="7" t="s">
        <v>486</v>
      </c>
    </row>
    <row r="481" spans="1:34" x14ac:dyDescent="0.2">
      <c r="A481" s="141" t="s">
        <v>365</v>
      </c>
      <c r="B481" s="9" t="s">
        <v>495</v>
      </c>
      <c r="C481" s="9" t="s">
        <v>495</v>
      </c>
      <c r="D481" s="9">
        <v>0</v>
      </c>
      <c r="E481" s="9"/>
      <c r="F481" s="9" t="s">
        <v>495</v>
      </c>
      <c r="G481" s="4">
        <v>25385</v>
      </c>
      <c r="H481" s="4">
        <f t="shared" si="55"/>
        <v>26750.000000000004</v>
      </c>
      <c r="I481" s="24">
        <f t="shared" si="56"/>
        <v>1.0538000000000001</v>
      </c>
      <c r="J481" s="23">
        <v>2105</v>
      </c>
      <c r="K481" s="23">
        <v>2240.5</v>
      </c>
      <c r="L481" s="23">
        <v>2240.4499999999998</v>
      </c>
      <c r="M481" s="23">
        <v>2240.4499999999998</v>
      </c>
      <c r="N481" s="23">
        <v>2240.4499999999998</v>
      </c>
      <c r="O481" s="23">
        <v>2240.4499999999998</v>
      </c>
      <c r="P481" s="23">
        <v>2240.4499999999998</v>
      </c>
      <c r="Q481" s="23">
        <v>2240.4499999999998</v>
      </c>
      <c r="R481" s="23">
        <v>2240.4499999999998</v>
      </c>
      <c r="S481" s="23">
        <v>2240.4499999999998</v>
      </c>
      <c r="T481" s="23">
        <v>2240.4499999999998</v>
      </c>
      <c r="U481" s="23">
        <v>0</v>
      </c>
      <c r="V481" s="79" t="s">
        <v>847</v>
      </c>
      <c r="W481" s="23">
        <f t="shared" si="57"/>
        <v>-1365.0000000000036</v>
      </c>
      <c r="X481" s="7"/>
      <c r="Y481" s="4"/>
      <c r="Z481" s="4"/>
      <c r="AA481" s="82"/>
      <c r="AB481" s="175">
        <v>2240.4499999999998</v>
      </c>
      <c r="AC481" s="82"/>
      <c r="AD481" s="23"/>
      <c r="AE481" s="7" t="s">
        <v>493</v>
      </c>
    </row>
    <row r="482" spans="1:34" x14ac:dyDescent="0.2">
      <c r="A482" s="141" t="s">
        <v>366</v>
      </c>
      <c r="B482" s="9" t="s">
        <v>495</v>
      </c>
      <c r="C482" s="9">
        <v>0</v>
      </c>
      <c r="D482" s="9" t="s">
        <v>495</v>
      </c>
      <c r="E482" s="9"/>
      <c r="F482" s="9">
        <v>0</v>
      </c>
      <c r="G482" s="4">
        <v>148596</v>
      </c>
      <c r="H482" s="4">
        <f t="shared" si="55"/>
        <v>148596</v>
      </c>
      <c r="I482" s="24">
        <f t="shared" si="56"/>
        <v>1</v>
      </c>
      <c r="J482" s="23">
        <v>0</v>
      </c>
      <c r="K482" s="23">
        <v>15000</v>
      </c>
      <c r="L482" s="23">
        <v>15000</v>
      </c>
      <c r="M482" s="23"/>
      <c r="N482" s="23">
        <v>30000</v>
      </c>
      <c r="O482" s="23">
        <v>15000</v>
      </c>
      <c r="P482" s="23">
        <v>15000</v>
      </c>
      <c r="Q482" s="23">
        <v>15000</v>
      </c>
      <c r="R482" s="23">
        <v>15000</v>
      </c>
      <c r="S482" s="23"/>
      <c r="T482" s="23">
        <v>15000</v>
      </c>
      <c r="U482" s="23">
        <v>13596</v>
      </c>
      <c r="V482" s="79" t="s">
        <v>848</v>
      </c>
      <c r="W482" s="23">
        <f t="shared" si="57"/>
        <v>0</v>
      </c>
      <c r="X482" s="7"/>
      <c r="Y482" s="4"/>
      <c r="Z482" s="4"/>
      <c r="AA482" s="82"/>
      <c r="AB482" s="82"/>
      <c r="AC482" s="82"/>
      <c r="AD482" s="23"/>
      <c r="AE482" s="7" t="s">
        <v>487</v>
      </c>
    </row>
    <row r="483" spans="1:34" x14ac:dyDescent="0.2">
      <c r="A483" s="141" t="s">
        <v>367</v>
      </c>
      <c r="B483" s="9" t="s">
        <v>495</v>
      </c>
      <c r="C483" s="9" t="s">
        <v>495</v>
      </c>
      <c r="D483" s="9">
        <v>0</v>
      </c>
      <c r="E483" s="9"/>
      <c r="F483" s="9" t="s">
        <v>495</v>
      </c>
      <c r="G483" s="4">
        <v>30054</v>
      </c>
      <c r="H483" s="4">
        <f t="shared" si="55"/>
        <v>30054</v>
      </c>
      <c r="I483" s="24">
        <f t="shared" si="56"/>
        <v>1</v>
      </c>
      <c r="J483" s="23">
        <v>300</v>
      </c>
      <c r="K483" s="23">
        <v>2705</v>
      </c>
      <c r="L483" s="23">
        <v>2704.9</v>
      </c>
      <c r="M483" s="23">
        <v>2704.9</v>
      </c>
      <c r="N483" s="23">
        <v>2704.9</v>
      </c>
      <c r="O483" s="23">
        <v>2704.9</v>
      </c>
      <c r="P483" s="23">
        <v>16229.4</v>
      </c>
      <c r="Q483" s="23"/>
      <c r="R483" s="23"/>
      <c r="S483" s="23"/>
      <c r="T483" s="23"/>
      <c r="U483" s="23"/>
      <c r="V483" s="79" t="s">
        <v>849</v>
      </c>
      <c r="W483" s="23">
        <f t="shared" si="57"/>
        <v>0</v>
      </c>
      <c r="X483" s="7"/>
      <c r="Y483" s="4"/>
      <c r="Z483" s="4"/>
      <c r="AA483" s="82"/>
      <c r="AB483" s="82"/>
      <c r="AC483" s="82"/>
      <c r="AD483" s="23"/>
      <c r="AE483" s="7" t="s">
        <v>494</v>
      </c>
    </row>
    <row r="484" spans="1:34" x14ac:dyDescent="0.2">
      <c r="A484" s="141" t="s">
        <v>368</v>
      </c>
      <c r="B484" s="9">
        <v>0</v>
      </c>
      <c r="C484" s="9" t="s">
        <v>495</v>
      </c>
      <c r="D484" s="9" t="s">
        <v>495</v>
      </c>
      <c r="E484" s="9"/>
      <c r="F484" s="9" t="s">
        <v>495</v>
      </c>
      <c r="G484" s="4">
        <v>13305</v>
      </c>
      <c r="H484" s="4">
        <f t="shared" si="55"/>
        <v>13305</v>
      </c>
      <c r="I484" s="24">
        <f t="shared" si="56"/>
        <v>1</v>
      </c>
      <c r="J484" s="23">
        <v>1108.75</v>
      </c>
      <c r="K484" s="23">
        <v>1108.75</v>
      </c>
      <c r="L484" s="23">
        <v>1108.75</v>
      </c>
      <c r="M484" s="23">
        <v>1108.75</v>
      </c>
      <c r="N484" s="23">
        <v>1108.75</v>
      </c>
      <c r="O484" s="23">
        <v>1108.75</v>
      </c>
      <c r="P484" s="23">
        <v>1108.75</v>
      </c>
      <c r="Q484" s="23">
        <v>1108.75</v>
      </c>
      <c r="R484" s="23">
        <v>1108.75</v>
      </c>
      <c r="S484" s="23">
        <v>1108.75</v>
      </c>
      <c r="T484" s="23">
        <v>1108.75</v>
      </c>
      <c r="U484" s="23">
        <v>1108.75</v>
      </c>
      <c r="V484" s="79" t="s">
        <v>850</v>
      </c>
      <c r="W484" s="23">
        <f t="shared" si="57"/>
        <v>0</v>
      </c>
      <c r="X484" s="7"/>
      <c r="Y484" s="4"/>
      <c r="Z484" s="4"/>
      <c r="AA484" s="82"/>
      <c r="AB484" s="82"/>
      <c r="AC484" s="82"/>
      <c r="AD484" s="23"/>
      <c r="AE484" s="7" t="s">
        <v>494</v>
      </c>
    </row>
    <row r="485" spans="1:34" x14ac:dyDescent="0.2">
      <c r="A485" s="141" t="s">
        <v>369</v>
      </c>
      <c r="B485" s="9">
        <v>0</v>
      </c>
      <c r="C485" s="9" t="s">
        <v>495</v>
      </c>
      <c r="D485" s="9">
        <v>0</v>
      </c>
      <c r="E485" s="9"/>
      <c r="F485" s="9">
        <v>0</v>
      </c>
      <c r="G485" s="4">
        <v>4455</v>
      </c>
      <c r="H485" s="4">
        <f t="shared" si="55"/>
        <v>4455</v>
      </c>
      <c r="I485" s="24">
        <f t="shared" si="56"/>
        <v>1</v>
      </c>
      <c r="J485" s="23">
        <v>0</v>
      </c>
      <c r="K485" s="23"/>
      <c r="L485" s="23"/>
      <c r="M485" s="23"/>
      <c r="N485" s="23"/>
      <c r="O485" s="23"/>
      <c r="P485" s="23">
        <v>4455</v>
      </c>
      <c r="Q485" s="23"/>
      <c r="R485" s="23"/>
      <c r="S485" s="23"/>
      <c r="T485" s="23"/>
      <c r="U485" s="23"/>
      <c r="V485" s="79" t="s">
        <v>851</v>
      </c>
      <c r="W485" s="23">
        <f t="shared" si="57"/>
        <v>0</v>
      </c>
      <c r="X485" s="7"/>
      <c r="Y485" s="4"/>
      <c r="Z485" s="4"/>
      <c r="AA485" s="82"/>
      <c r="AB485" s="82"/>
      <c r="AC485" s="82"/>
      <c r="AD485" s="23"/>
      <c r="AE485" s="7" t="s">
        <v>494</v>
      </c>
    </row>
    <row r="486" spans="1:34" x14ac:dyDescent="0.2">
      <c r="A486" s="141" t="s">
        <v>370</v>
      </c>
      <c r="B486" s="9" t="s">
        <v>495</v>
      </c>
      <c r="C486" s="9" t="s">
        <v>495</v>
      </c>
      <c r="D486" s="9" t="s">
        <v>495</v>
      </c>
      <c r="E486" s="9"/>
      <c r="F486" s="9">
        <v>0</v>
      </c>
      <c r="G486" s="4">
        <v>25549</v>
      </c>
      <c r="H486" s="4">
        <f t="shared" si="55"/>
        <v>12563</v>
      </c>
      <c r="I486" s="24">
        <f t="shared" si="56"/>
        <v>0.49170000000000003</v>
      </c>
      <c r="J486" s="23">
        <v>0</v>
      </c>
      <c r="K486" s="23">
        <v>4000</v>
      </c>
      <c r="L486" s="23"/>
      <c r="M486" s="23">
        <v>4377</v>
      </c>
      <c r="N486" s="23"/>
      <c r="O486" s="23">
        <v>1093</v>
      </c>
      <c r="P486" s="23">
        <v>1000</v>
      </c>
      <c r="Q486" s="23"/>
      <c r="R486" s="23"/>
      <c r="S486" s="23">
        <v>2093</v>
      </c>
      <c r="T486" s="23"/>
      <c r="U486" s="23"/>
      <c r="V486" s="79" t="s">
        <v>852</v>
      </c>
      <c r="W486" s="23">
        <f t="shared" si="57"/>
        <v>12986</v>
      </c>
      <c r="X486" s="7"/>
      <c r="Y486" s="4"/>
      <c r="Z486" s="4"/>
      <c r="AA486" s="82"/>
      <c r="AB486" s="82"/>
      <c r="AC486" s="82"/>
      <c r="AD486" s="23"/>
      <c r="AE486" s="7" t="s">
        <v>488</v>
      </c>
    </row>
    <row r="487" spans="1:34" x14ac:dyDescent="0.2">
      <c r="A487" s="141" t="s">
        <v>371</v>
      </c>
      <c r="B487" s="9">
        <v>0</v>
      </c>
      <c r="C487" s="9">
        <v>0</v>
      </c>
      <c r="D487" s="9">
        <v>0</v>
      </c>
      <c r="E487" s="9"/>
      <c r="F487" s="9" t="s">
        <v>638</v>
      </c>
      <c r="G487" s="4">
        <v>17553</v>
      </c>
      <c r="H487" s="4">
        <f t="shared" si="55"/>
        <v>17553</v>
      </c>
      <c r="I487" s="24">
        <f t="shared" si="56"/>
        <v>1</v>
      </c>
      <c r="J487" s="23">
        <v>1462.75</v>
      </c>
      <c r="K487" s="23">
        <v>1462.75</v>
      </c>
      <c r="L487" s="23">
        <v>1462.75</v>
      </c>
      <c r="M487" s="23">
        <v>1462.75</v>
      </c>
      <c r="N487" s="23">
        <v>1462.75</v>
      </c>
      <c r="O487" s="23">
        <v>1462.75</v>
      </c>
      <c r="P487" s="23">
        <v>1462.75</v>
      </c>
      <c r="Q487" s="23">
        <v>1462.75</v>
      </c>
      <c r="R487" s="23">
        <v>1462.75</v>
      </c>
      <c r="S487" s="23">
        <v>1462.75</v>
      </c>
      <c r="T487" s="23">
        <v>1462.75</v>
      </c>
      <c r="U487" s="23">
        <v>1462.75</v>
      </c>
      <c r="V487" s="79" t="s">
        <v>853</v>
      </c>
      <c r="W487" s="23">
        <f t="shared" si="57"/>
        <v>0</v>
      </c>
      <c r="X487" s="7"/>
      <c r="Y487" s="4"/>
      <c r="Z487" s="4"/>
      <c r="AA487" s="82"/>
      <c r="AB487" s="82"/>
      <c r="AC487" s="82"/>
      <c r="AD487" s="23"/>
      <c r="AE487" s="7" t="s">
        <v>485</v>
      </c>
    </row>
    <row r="488" spans="1:34" x14ac:dyDescent="0.2">
      <c r="B488" s="9"/>
      <c r="C488" s="9"/>
      <c r="E488" s="9"/>
      <c r="F488" s="9"/>
      <c r="I488" s="24"/>
      <c r="W488" s="3"/>
      <c r="AA488" s="82"/>
      <c r="AB488" s="82"/>
      <c r="AC488" s="82"/>
    </row>
    <row r="489" spans="1:34" x14ac:dyDescent="0.2">
      <c r="A489" t="s">
        <v>6</v>
      </c>
      <c r="B489" s="9"/>
      <c r="C489" s="9"/>
      <c r="E489" s="9"/>
      <c r="F489" s="9"/>
      <c r="G489" s="17">
        <f>SUM(G460:G488)</f>
        <v>932398</v>
      </c>
      <c r="H489" s="11">
        <f>SUM(H460:H488)</f>
        <v>830263.46</v>
      </c>
      <c r="I489" s="24"/>
      <c r="J489" s="4">
        <f>SUM(J460:J488)</f>
        <v>40841.56</v>
      </c>
      <c r="K489" s="4">
        <f>SUM(K460:K488)</f>
        <v>60911.18</v>
      </c>
      <c r="L489" s="4">
        <f>SUM(L460:L488)</f>
        <v>84907.469999999987</v>
      </c>
      <c r="M489" s="4">
        <f t="shared" ref="M489:U489" si="58">SUM(M460:M488)</f>
        <v>50278.469999999994</v>
      </c>
      <c r="N489" s="4">
        <f t="shared" si="58"/>
        <v>66307.06</v>
      </c>
      <c r="O489" s="4">
        <f>SUM(O460:O488)</f>
        <v>92723.469999999987</v>
      </c>
      <c r="P489" s="4">
        <f t="shared" si="58"/>
        <v>72826.16</v>
      </c>
      <c r="Q489" s="4">
        <f t="shared" si="58"/>
        <v>49925.16</v>
      </c>
      <c r="R489" s="4">
        <f t="shared" si="58"/>
        <v>67161.45</v>
      </c>
      <c r="S489" s="4">
        <f t="shared" si="58"/>
        <v>60958.45</v>
      </c>
      <c r="T489" s="4">
        <f t="shared" si="58"/>
        <v>90350.1</v>
      </c>
      <c r="U489" s="4">
        <f t="shared" si="58"/>
        <v>83664</v>
      </c>
      <c r="V489" s="77"/>
      <c r="W489" s="3">
        <f>G489-H489</f>
        <v>102134.54000000004</v>
      </c>
      <c r="X489" s="4"/>
      <c r="Y489" s="4"/>
      <c r="Z489" s="4"/>
      <c r="AA489" s="83">
        <f t="shared" ref="AA489:AC489" si="59">SUM(AA460:AA488)</f>
        <v>6856.48</v>
      </c>
      <c r="AB489" s="83">
        <f t="shared" si="59"/>
        <v>2552.4499999999998</v>
      </c>
      <c r="AC489" s="83">
        <f t="shared" si="59"/>
        <v>0</v>
      </c>
      <c r="AH489" s="4">
        <f>ROUND(SUM(J489:U489),0)</f>
        <v>820855</v>
      </c>
    </row>
    <row r="490" spans="1:34" x14ac:dyDescent="0.2">
      <c r="I490" s="24"/>
      <c r="W490" s="3"/>
    </row>
    <row r="491" spans="1:34" ht="15.75" x14ac:dyDescent="0.25">
      <c r="G491" s="17">
        <f>G39+G82+G119+G157+G212+G255+G290+G316+G345+G391+G450+G489</f>
        <v>8188787.75</v>
      </c>
      <c r="H491" s="123">
        <f>H39+H82+H119+H157+H212+H255+H290+H316+H345+H391+H450+H489</f>
        <v>6663468.3099999996</v>
      </c>
      <c r="I491" s="24">
        <f t="shared" si="56"/>
        <v>0.81369999999999998</v>
      </c>
      <c r="J491" s="11">
        <f t="shared" ref="J491:U491" si="60">J39+J82+J119+J157+J212+J255+J290+J316+J345+J391+J450+J489</f>
        <v>396856.35</v>
      </c>
      <c r="K491" s="11">
        <f t="shared" si="60"/>
        <v>482698.98</v>
      </c>
      <c r="L491" s="11">
        <f t="shared" si="60"/>
        <v>540363.4800000001</v>
      </c>
      <c r="M491" s="11">
        <f t="shared" si="60"/>
        <v>456663.87999999995</v>
      </c>
      <c r="N491" s="11">
        <f t="shared" si="60"/>
        <v>536149.11</v>
      </c>
      <c r="O491" s="11">
        <f t="shared" si="60"/>
        <v>590746.29999999993</v>
      </c>
      <c r="P491" s="11">
        <f t="shared" si="60"/>
        <v>552321.06000000006</v>
      </c>
      <c r="Q491" s="11">
        <f t="shared" si="60"/>
        <v>496356.39</v>
      </c>
      <c r="R491" s="11">
        <f t="shared" si="60"/>
        <v>494437.81</v>
      </c>
      <c r="S491" s="11">
        <f t="shared" si="60"/>
        <v>565742.23</v>
      </c>
      <c r="T491" s="11">
        <f t="shared" si="60"/>
        <v>618750.92999999993</v>
      </c>
      <c r="U491" s="11">
        <f t="shared" si="60"/>
        <v>763276.25</v>
      </c>
      <c r="V491" s="80"/>
      <c r="W491" s="3">
        <f>G491-H491</f>
        <v>1525319.4400000004</v>
      </c>
      <c r="X491" s="11"/>
      <c r="Y491" s="11"/>
      <c r="Z491" s="11"/>
    </row>
    <row r="492" spans="1:34" x14ac:dyDescent="0.2">
      <c r="I492" s="24"/>
      <c r="AA492" s="83">
        <f>AA39+AA82+AA119+AA157+AA212+AA255+AA290+AA316+AA345+AA391+AA450+AA489</f>
        <v>98899.03</v>
      </c>
      <c r="AB492" s="83">
        <f>AB39+AB82+AB119+AB157+AB212+AB255+AB290+AB316+AB345+AB391+AB450+AB489</f>
        <v>58813.45</v>
      </c>
      <c r="AC492" s="83">
        <f>AC39+AC82+AC119+AC157+AC212+AC255+AC290+AC316+AC345+AC391+AC450+AC489</f>
        <v>11393.06</v>
      </c>
      <c r="AH492" s="4">
        <f>SUM(AH7:AH490)</f>
        <v>6494363</v>
      </c>
    </row>
    <row r="493" spans="1:34" ht="15.75" x14ac:dyDescent="0.25">
      <c r="G493" s="22" t="s">
        <v>372</v>
      </c>
      <c r="H493" s="11">
        <f>G491-H491</f>
        <v>1525319.4400000004</v>
      </c>
    </row>
    <row r="494" spans="1:34" ht="16.5" x14ac:dyDescent="0.25">
      <c r="B494" s="8"/>
      <c r="C494" s="8"/>
      <c r="E494" s="8"/>
      <c r="F494" s="8"/>
      <c r="G494" s="18"/>
      <c r="H494" s="12"/>
    </row>
    <row r="495" spans="1:34" x14ac:dyDescent="0.2">
      <c r="AA495" s="15"/>
    </row>
    <row r="496" spans="1:34" ht="16.5" x14ac:dyDescent="0.25">
      <c r="A496" s="1"/>
      <c r="B496" s="8"/>
      <c r="C496" s="8"/>
      <c r="E496" s="8"/>
      <c r="F496" s="8"/>
      <c r="G496" s="18"/>
      <c r="H496" s="12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34" ht="16.5" x14ac:dyDescent="0.25">
      <c r="G497" s="18"/>
      <c r="H497" s="12"/>
      <c r="I497" s="20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9" spans="1:34" s="141" customFormat="1" x14ac:dyDescent="0.2">
      <c r="B499" s="215"/>
      <c r="C499" s="215"/>
      <c r="D499" s="216"/>
      <c r="E499" s="215"/>
      <c r="F499" s="215"/>
      <c r="G499" s="144"/>
      <c r="H499" s="218" t="s">
        <v>1097</v>
      </c>
      <c r="I499" s="219" t="s">
        <v>1098</v>
      </c>
      <c r="J499" s="219">
        <v>1</v>
      </c>
      <c r="K499" s="218" t="s">
        <v>1099</v>
      </c>
      <c r="L499" s="218" t="s">
        <v>1100</v>
      </c>
      <c r="M499" s="218" t="s">
        <v>1101</v>
      </c>
      <c r="N499" s="218" t="s">
        <v>1102</v>
      </c>
      <c r="O499" s="218" t="s">
        <v>1103</v>
      </c>
      <c r="P499" s="218" t="s">
        <v>1104</v>
      </c>
      <c r="Q499" s="218" t="s">
        <v>1105</v>
      </c>
      <c r="R499" s="218" t="s">
        <v>1106</v>
      </c>
      <c r="S499" s="218" t="s">
        <v>1107</v>
      </c>
      <c r="T499" s="218" t="s">
        <v>1108</v>
      </c>
      <c r="U499" s="218" t="s">
        <v>1108</v>
      </c>
      <c r="V499" s="218" t="s">
        <v>1109</v>
      </c>
      <c r="W499" s="218"/>
      <c r="X499" s="215"/>
      <c r="Y499" s="215"/>
      <c r="Z499" s="215"/>
      <c r="AA499" s="144"/>
      <c r="AB499" s="144"/>
      <c r="AC499" s="144"/>
      <c r="AE499" s="215"/>
      <c r="AH499" s="23"/>
    </row>
    <row r="500" spans="1:34" s="141" customFormat="1" x14ac:dyDescent="0.2">
      <c r="B500" s="215"/>
      <c r="C500" s="215"/>
      <c r="D500" s="216"/>
      <c r="E500" s="215"/>
      <c r="F500" s="215"/>
      <c r="G500" s="144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5"/>
      <c r="T500" s="215"/>
      <c r="U500" s="215"/>
      <c r="V500" s="215"/>
      <c r="W500" s="218"/>
      <c r="X500" s="215"/>
      <c r="Y500" s="215"/>
      <c r="Z500" s="215"/>
      <c r="AA500" s="144"/>
      <c r="AB500" s="144"/>
      <c r="AC500" s="144"/>
      <c r="AE500" s="215"/>
      <c r="AH500" s="23"/>
    </row>
    <row r="501" spans="1:34" s="141" customFormat="1" x14ac:dyDescent="0.2">
      <c r="A501" s="76" t="s">
        <v>880</v>
      </c>
      <c r="B501" s="215"/>
      <c r="C501" s="215"/>
      <c r="D501" s="216"/>
      <c r="E501" s="215"/>
      <c r="F501" s="215"/>
      <c r="G501" s="144"/>
      <c r="H501" s="220">
        <f>COUNTA($H$8:$H$37)-V501</f>
        <v>30</v>
      </c>
      <c r="I501" s="220">
        <f>COUNTIFS($I$8:$I$37,"&gt;1")</f>
        <v>2</v>
      </c>
      <c r="J501" s="220">
        <f>COUNTIFS($I$8:$I$37,"1")</f>
        <v>8</v>
      </c>
      <c r="K501" s="220">
        <f>COUNTIFS($I$8:$I$37,"&gt;=.9")-I501-J501</f>
        <v>1</v>
      </c>
      <c r="L501" s="220">
        <f>COUNTIFS($I$8:$I$37,"&gt;=.8")-I501-J501-K501</f>
        <v>1</v>
      </c>
      <c r="M501" s="220">
        <f>COUNTIFS($I$8:$I$37,"&gt;=.7")-I501-J501-K501-L501</f>
        <v>4</v>
      </c>
      <c r="N501" s="220">
        <f>COUNTIFS($I$8:$I$37,"&gt;=.6")-I501-J501-K501-L501-M501</f>
        <v>2</v>
      </c>
      <c r="O501" s="220">
        <f>COUNTIFS($I$8:$I$37,"&gt;=.5")-I501-J501-K501-L501-M501-N501</f>
        <v>3</v>
      </c>
      <c r="P501" s="220">
        <f>COUNTIFS($I$8:$I$37,"&gt;=.4")-I501-J501-K501-L501-M501-N501-O501</f>
        <v>2</v>
      </c>
      <c r="Q501" s="220">
        <f>COUNTIFS($I$8:$I$37,"&gt;=.3")-I501-J501-K501-L501-M501-N501-O501-P501</f>
        <v>1</v>
      </c>
      <c r="R501" s="220">
        <f>COUNTIFS($I$8:$I$37,"&gt;=.2")-I501-J501-K501-L501-M501-N501-O501-P501-Q501</f>
        <v>1</v>
      </c>
      <c r="S501" s="220">
        <f>COUNTIFS($I$8:$I$37,"&gt;=.1")-I501-J501-K501-L501-M501-N501-O501-P501-Q501-R501</f>
        <v>1</v>
      </c>
      <c r="T501" s="220">
        <f>COUNTIFS($I$8:$I$37,"&lt;.1")</f>
        <v>4</v>
      </c>
      <c r="U501" s="220">
        <f>COUNTIFS($I$8:$I$37,"&lt;=0")</f>
        <v>4</v>
      </c>
      <c r="V501" s="220">
        <v>0</v>
      </c>
      <c r="W501" s="220">
        <f>COUNTIFS($I$8:$I$37,"&gt;=0.8137")</f>
        <v>12</v>
      </c>
      <c r="X501" s="215"/>
      <c r="Y501" s="215"/>
      <c r="Z501" s="215"/>
      <c r="AA501" s="144"/>
      <c r="AB501" s="144"/>
      <c r="AC501" s="144"/>
      <c r="AE501" s="215"/>
      <c r="AH501" s="23"/>
    </row>
    <row r="502" spans="1:34" s="141" customFormat="1" x14ac:dyDescent="0.2">
      <c r="A502" s="76" t="s">
        <v>862</v>
      </c>
      <c r="B502" s="215"/>
      <c r="C502" s="215"/>
      <c r="D502" s="216"/>
      <c r="E502" s="215"/>
      <c r="F502" s="215"/>
      <c r="G502" s="144"/>
      <c r="H502" s="220">
        <f>COUNTA($H$49:$H$79)-V502</f>
        <v>31</v>
      </c>
      <c r="I502" s="220">
        <f>COUNTIFS($I$49:$I$79,"&gt;1")</f>
        <v>3</v>
      </c>
      <c r="J502" s="220">
        <f>COUNTIFS($I$49:$I$79,"1")</f>
        <v>16</v>
      </c>
      <c r="K502" s="220">
        <f>COUNTIFS($I$49:$I$79,"&gt;=.9")-I502-J502</f>
        <v>1</v>
      </c>
      <c r="L502" s="220">
        <f>COUNTIFS($I$49:$I$79,"&gt;=.8")-I502-J502-K502</f>
        <v>0</v>
      </c>
      <c r="M502" s="220">
        <f>COUNTIFS($I$49:$I$79,"&gt;=.7")-I502-J502-K502-L502</f>
        <v>2</v>
      </c>
      <c r="N502" s="220">
        <f>COUNTIFS($I$49:$I$79,"&gt;=.6")-I502-J502-K502-L502-M502</f>
        <v>1</v>
      </c>
      <c r="O502" s="220">
        <f>COUNTIFS($I$49:$I$79,"&gt;=.5")-I502-J502-K502-L502-M502-N502</f>
        <v>1</v>
      </c>
      <c r="P502" s="220">
        <f>COUNTIFS($I$49:$I$79,"&gt;=.4")-I502-J502-K502-L502-M502-N502-O502</f>
        <v>2</v>
      </c>
      <c r="Q502" s="220">
        <f>COUNTIFS($I$49:$I$79,"&gt;=.3")-I502-J502-K502-L502-M502-N502-O502-P502</f>
        <v>0</v>
      </c>
      <c r="R502" s="220">
        <f>COUNTIFS($I$49:$I$79,"&gt;=.2")-I502-J502-K502-L502-M502-N502-O502-P502-Q502</f>
        <v>1</v>
      </c>
      <c r="S502" s="220">
        <f>COUNTIFS($I$49:$I$79,"&gt;=.1")-I502-J502-K502-L502-M502-N502-O502-P502-Q502-R502</f>
        <v>3</v>
      </c>
      <c r="T502" s="220">
        <f>COUNTIFS($I$49:$I$79,"&lt;.1")</f>
        <v>1</v>
      </c>
      <c r="U502" s="220">
        <f>COUNTIFS($I$49:$I$79,"&lt;=0")</f>
        <v>0</v>
      </c>
      <c r="V502" s="220">
        <v>0</v>
      </c>
      <c r="W502" s="220">
        <f>COUNTIFS($I$49:$I$79,"&gt;=0.8137")</f>
        <v>20</v>
      </c>
      <c r="X502" s="215"/>
      <c r="Y502" s="215"/>
      <c r="Z502" s="215"/>
      <c r="AA502" s="144"/>
      <c r="AB502" s="144"/>
      <c r="AC502" s="144"/>
      <c r="AE502" s="215"/>
      <c r="AH502" s="23"/>
    </row>
    <row r="503" spans="1:34" s="141" customFormat="1" x14ac:dyDescent="0.2">
      <c r="A503" s="76" t="s">
        <v>863</v>
      </c>
      <c r="B503" s="215"/>
      <c r="C503" s="215"/>
      <c r="D503" s="216"/>
      <c r="E503" s="215"/>
      <c r="F503" s="215"/>
      <c r="G503" s="144"/>
      <c r="H503" s="220">
        <f>COUNTA($H$91:$H$117)-V503</f>
        <v>25</v>
      </c>
      <c r="I503" s="220">
        <f>COUNTIFS($I$91:$I$117,"&gt;1")</f>
        <v>0</v>
      </c>
      <c r="J503" s="220">
        <f>COUNTIFS($I$91:$I$117,"1")</f>
        <v>12</v>
      </c>
      <c r="K503" s="220">
        <f>COUNTIFS($I$91:$I$117,"&gt;=.9")-I503-J503</f>
        <v>2</v>
      </c>
      <c r="L503" s="220">
        <f>COUNTIFS($I$91:$I$117,"&gt;=.8")-I503-J503-K503</f>
        <v>2</v>
      </c>
      <c r="M503" s="220">
        <f>COUNTIFS($I$91:$I$117,"&gt;=.7")-I503-J503-K503-L503</f>
        <v>1</v>
      </c>
      <c r="N503" s="220">
        <f>COUNTIFS($I$91:$I$117,"&gt;=.6")-I503-J503-K503-L503-M503</f>
        <v>2</v>
      </c>
      <c r="O503" s="220">
        <f>COUNTIFS($I$91:$I$117,"&gt;=.5")-I503-J503-K503-L503-M503-N503</f>
        <v>2</v>
      </c>
      <c r="P503" s="220">
        <f>COUNTIFS($I$91:$I$117,"&gt;=.4")-I503-J503-K503-L503-M503-N503-O503</f>
        <v>1</v>
      </c>
      <c r="Q503" s="220">
        <f>COUNTIFS($I$91:$I$117,"&gt;=.3")-I503-J503-K503-L503-M503-N503-O503-P503</f>
        <v>2</v>
      </c>
      <c r="R503" s="220">
        <f>COUNTIFS($I$91:$I$117,"&gt;=.2")-I503-J503-K503-L503-M503-N503-O503-P503-Q503</f>
        <v>1</v>
      </c>
      <c r="S503" s="220">
        <f>COUNTIFS($I$91:$I$117,"&gt;=.1")-I503-J503-K503-L503-M503-N503-O503-P503-Q503-R503</f>
        <v>0</v>
      </c>
      <c r="T503" s="220">
        <f>COUNTIFS($I$91:$I$117,"&lt;.1")</f>
        <v>0</v>
      </c>
      <c r="U503" s="220">
        <f>COUNTIFS($I$91:$I$117,"&lt;=0")</f>
        <v>0</v>
      </c>
      <c r="V503" s="220">
        <v>2</v>
      </c>
      <c r="W503" s="220">
        <f>COUNTIFS($I$91:$I$117,"&gt;=0.8137")</f>
        <v>16</v>
      </c>
      <c r="X503" s="215"/>
      <c r="Y503" s="215"/>
      <c r="Z503" s="215"/>
      <c r="AA503" s="144"/>
      <c r="AB503" s="144"/>
      <c r="AC503" s="144"/>
      <c r="AE503" s="215"/>
      <c r="AH503" s="23"/>
    </row>
    <row r="504" spans="1:34" s="141" customFormat="1" x14ac:dyDescent="0.2">
      <c r="A504" s="76" t="s">
        <v>864</v>
      </c>
      <c r="B504" s="215"/>
      <c r="C504" s="215"/>
      <c r="D504" s="216"/>
      <c r="E504" s="215"/>
      <c r="F504" s="215"/>
      <c r="G504" s="144"/>
      <c r="H504" s="220">
        <f>COUNTA($H$129:$H$155)-V504</f>
        <v>26</v>
      </c>
      <c r="I504" s="220">
        <f>COUNTIFS($I$129:$I$155,"&gt;1")</f>
        <v>0</v>
      </c>
      <c r="J504" s="220">
        <f>COUNTIFS($I$129:$I$155,"1")</f>
        <v>10</v>
      </c>
      <c r="K504" s="220">
        <f>COUNTIFS($I$129:$I$155,"&gt;=.9")-I504-J504</f>
        <v>0</v>
      </c>
      <c r="L504" s="220">
        <f>COUNTIFS($I$129:$I$155,"&gt;=.8")-I504-J504-K504</f>
        <v>2</v>
      </c>
      <c r="M504" s="220">
        <f>COUNTIFS($I$129:$I$155,"&gt;=.7")-I504-J504-K504-L504</f>
        <v>1</v>
      </c>
      <c r="N504" s="220">
        <f>COUNTIFS($I$129:$I$155,"&gt;=.6")-I504-J504-K504-L504-M504</f>
        <v>4</v>
      </c>
      <c r="O504" s="220">
        <f>COUNTIFS($I$129:$I$155,"&gt;=.5")-I504-J504-K504-L504-M504-N504</f>
        <v>0</v>
      </c>
      <c r="P504" s="220">
        <f>COUNTIFS($I$129:$I$155,"&gt;=.4")-I504-J504-K504-L504-M504-N504-O504</f>
        <v>5</v>
      </c>
      <c r="Q504" s="220">
        <f>COUNTIFS($I$129:$I$155,"&gt;=.3")-I504-J504-K504-L504-M504-N504-O504-P504</f>
        <v>1</v>
      </c>
      <c r="R504" s="220">
        <f>COUNTIFS($I$129:$I$155,"&gt;=.2")-I504-J504-K504-L504-M504-N504-O504-P504-Q504</f>
        <v>2</v>
      </c>
      <c r="S504" s="220">
        <f>COUNTIFS($I$129:$I$155,"&gt;=.1")-I504-J504-K504-L504-M504-N504-O504-P504-Q504-R504</f>
        <v>1</v>
      </c>
      <c r="T504" s="220">
        <f>COUNTIFS($I$129:$I$155,"&lt;.1")</f>
        <v>0</v>
      </c>
      <c r="U504" s="220">
        <f>COUNTIFS($I$129:$I$155,"&lt;=0")</f>
        <v>0</v>
      </c>
      <c r="V504" s="220">
        <v>1</v>
      </c>
      <c r="W504" s="220">
        <f>COUNTIFS($I$129:$I$155,"&gt;=0.8137")</f>
        <v>12</v>
      </c>
      <c r="X504" s="215"/>
      <c r="Y504" s="215"/>
      <c r="Z504" s="215"/>
      <c r="AA504" s="144"/>
      <c r="AB504" s="144"/>
      <c r="AC504" s="144"/>
      <c r="AE504" s="215"/>
      <c r="AH504" s="23"/>
    </row>
    <row r="505" spans="1:34" s="141" customFormat="1" x14ac:dyDescent="0.2">
      <c r="A505" s="76" t="s">
        <v>865</v>
      </c>
      <c r="B505" s="215"/>
      <c r="C505" s="215"/>
      <c r="D505" s="216"/>
      <c r="E505" s="215"/>
      <c r="F505" s="215"/>
      <c r="G505" s="144"/>
      <c r="H505" s="220">
        <f>COUNTA($H$167:$H$210)-V505</f>
        <v>43</v>
      </c>
      <c r="I505" s="220">
        <f>COUNTIFS($I$167:$I$210,"&gt;1")</f>
        <v>0</v>
      </c>
      <c r="J505" s="220">
        <f>COUNTIFS($I$167:$I$210,"1")</f>
        <v>19</v>
      </c>
      <c r="K505" s="220">
        <f>COUNTIFS($I$167:$I$210,"&gt;=.9")-I505-J505</f>
        <v>11</v>
      </c>
      <c r="L505" s="220">
        <f>COUNTIFS($I$167:$I$210,"&gt;=.8")-I505-J505-K505</f>
        <v>0</v>
      </c>
      <c r="M505" s="220">
        <f>COUNTIFS($I$167:$I$210,"&gt;=.7")-I505-J505-K505-L505</f>
        <v>2</v>
      </c>
      <c r="N505" s="220">
        <f>COUNTIFS($I$167:$I$210,"&gt;=.6")-I505-J505-K505-L505-M505</f>
        <v>0</v>
      </c>
      <c r="O505" s="220">
        <f>COUNTIFS($I$167:$I$210,"&gt;=.5")-I505-J505-K505-L505-M505-N505</f>
        <v>1</v>
      </c>
      <c r="P505" s="220">
        <f>COUNTIFS($I$167:$I$210,"&gt;=.4")-I505-J505-K505-L505-M505-N505-O505</f>
        <v>5</v>
      </c>
      <c r="Q505" s="220">
        <f>COUNTIFS($I$167:$I$210,"&gt;=.3")-I505-J505-K505-L505-M505-N505-O505-P505</f>
        <v>3</v>
      </c>
      <c r="R505" s="220">
        <f>COUNTIFS($I$167:$I$210,"&gt;=.2")-I505-J505-K505-L505-M505-N505-O505-P505-Q505</f>
        <v>2</v>
      </c>
      <c r="S505" s="220">
        <f>COUNTIFS($I$167:$I$210,"&gt;=.1")-I505-J505-K505-L505-M505-N505-O505-P505-Q505-R505</f>
        <v>0</v>
      </c>
      <c r="T505" s="220">
        <f>COUNTIFS($I$167:$I$210,"&lt;.1")</f>
        <v>0</v>
      </c>
      <c r="U505" s="220">
        <f>COUNTIFS($I$167:$I$210,"&lt;=0")</f>
        <v>0</v>
      </c>
      <c r="V505" s="220">
        <v>1</v>
      </c>
      <c r="W505" s="220">
        <f>COUNTIFS($I$167:$I$210,"&gt;=0.8137")</f>
        <v>30</v>
      </c>
      <c r="X505" s="215"/>
      <c r="Y505" s="215"/>
      <c r="Z505" s="215"/>
      <c r="AA505" s="144"/>
      <c r="AB505" s="144"/>
      <c r="AC505" s="144"/>
      <c r="AE505" s="215"/>
      <c r="AH505" s="23"/>
    </row>
    <row r="506" spans="1:34" s="141" customFormat="1" x14ac:dyDescent="0.2">
      <c r="A506" s="76" t="s">
        <v>866</v>
      </c>
      <c r="B506" s="215"/>
      <c r="C506" s="215"/>
      <c r="D506" s="216"/>
      <c r="E506" s="215"/>
      <c r="F506" s="215"/>
      <c r="G506" s="144"/>
      <c r="H506" s="220">
        <f>COUNTA($H$222:$H$253)-V506</f>
        <v>32</v>
      </c>
      <c r="I506" s="220">
        <f>COUNTIFS($I$222:$I$253,"&gt;1")</f>
        <v>1</v>
      </c>
      <c r="J506" s="220">
        <f>COUNTIFS($I$222:$I$253,"1")</f>
        <v>9</v>
      </c>
      <c r="K506" s="220">
        <f>COUNTIFS($I$222:$I$253,"&gt;=.9")-I506-J506</f>
        <v>0</v>
      </c>
      <c r="L506" s="220">
        <f>COUNTIFS($I$222:$I$253,"&gt;=.8")-I506-J506-K506</f>
        <v>1</v>
      </c>
      <c r="M506" s="220">
        <f>COUNTIFS($I$222:$I$253,"&gt;=.7")-I506-J506-K506-L506</f>
        <v>4</v>
      </c>
      <c r="N506" s="220">
        <f>COUNTIFS($I$222:$I$253,"&gt;=.6")-I506-J506-K506-L506-M506</f>
        <v>5</v>
      </c>
      <c r="O506" s="220">
        <f>COUNTIFS($I$222:$I$253,"&gt;=.5")-I506-J506-K506-L506-M506-N506</f>
        <v>5</v>
      </c>
      <c r="P506" s="220">
        <f>COUNTIFS($I$222:$I$253,"&gt;=.4")-I506-J506-K506-L506-M506-N506-O506</f>
        <v>3</v>
      </c>
      <c r="Q506" s="220">
        <f>COUNTIFS($I$222:$I$253,"&gt;=.3")-I506-J506-K506-L506-M506-N506-O506-P506</f>
        <v>1</v>
      </c>
      <c r="R506" s="220">
        <f>COUNTIFS($I$222:$I$253,"&gt;=.2")-I506-J506-K506-L506-M506-N506-O506-P506-Q506</f>
        <v>0</v>
      </c>
      <c r="S506" s="220">
        <f>COUNTIFS($I$222:$I$253,"&gt;=.1")-I506-J506-K506-L506-M506-N506-O506-P506-Q506-R506</f>
        <v>3</v>
      </c>
      <c r="T506" s="220">
        <f>COUNTIFS($I$222:$I$253,"&lt;.1")</f>
        <v>0</v>
      </c>
      <c r="U506" s="220">
        <f>COUNTIFS($I$222:$I$253,"&lt;=0")</f>
        <v>0</v>
      </c>
      <c r="V506" s="220">
        <v>0</v>
      </c>
      <c r="W506" s="220">
        <f>COUNTIFS($I$222:$I$253,"&gt;=0.8137")</f>
        <v>11</v>
      </c>
      <c r="X506" s="215"/>
      <c r="Y506" s="215"/>
      <c r="Z506" s="215"/>
      <c r="AA506" s="144"/>
      <c r="AB506" s="144"/>
      <c r="AC506" s="144"/>
      <c r="AE506" s="215"/>
      <c r="AH506" s="23"/>
    </row>
    <row r="507" spans="1:34" s="141" customFormat="1" x14ac:dyDescent="0.2">
      <c r="A507" s="76" t="s">
        <v>867</v>
      </c>
      <c r="B507" s="215"/>
      <c r="C507" s="215"/>
      <c r="D507" s="216"/>
      <c r="E507" s="215"/>
      <c r="F507" s="215"/>
      <c r="G507" s="144"/>
      <c r="H507" s="220">
        <f>COUNTA($H$265:$H$288)-V507</f>
        <v>24</v>
      </c>
      <c r="I507" s="220">
        <f>COUNTIFS($I$265:$I$288,"&gt;1")</f>
        <v>0</v>
      </c>
      <c r="J507" s="220">
        <f>COUNTIFS($I$265:$I$288,"1")</f>
        <v>11</v>
      </c>
      <c r="K507" s="220">
        <f>COUNTIFS($I$265:$I$288,"&gt;=.9")-I507-J507</f>
        <v>2</v>
      </c>
      <c r="L507" s="220">
        <f>COUNTIFS($I$265:$I$288,"&gt;=.8")-I507-J507-K507</f>
        <v>0</v>
      </c>
      <c r="M507" s="220">
        <f>COUNTIFS($I$265:$I$288,"&gt;=.7")-I507-J507-K507-L507</f>
        <v>4</v>
      </c>
      <c r="N507" s="220">
        <f>COUNTIFS($I$265:$I$288,"&gt;=.6")-I507-J507-K507-L507-M507</f>
        <v>1</v>
      </c>
      <c r="O507" s="220">
        <f>COUNTIFS($I$265:$I$288,"&gt;=.5")-I507-J507-K507-L507-M507-N507</f>
        <v>2</v>
      </c>
      <c r="P507" s="220">
        <f>COUNTIFS($I$265:$I$288,"&gt;=.4")-I507-J507-K507-L507-M507-N507-O507</f>
        <v>2</v>
      </c>
      <c r="Q507" s="220">
        <f>COUNTIFS($I$265:$I$288,"&gt;=.3")-I507-J507-K507-L507-M507-N507-O507-P507</f>
        <v>1</v>
      </c>
      <c r="R507" s="220">
        <f>COUNTIFS($I$265:$I$288,"&gt;=.2")-I507-J507-K507-L507-M507-N507-O507-P507-Q507</f>
        <v>1</v>
      </c>
      <c r="S507" s="220">
        <f>COUNTIFS($I$265:$I$288,"&gt;=.1")-I507-J507-K507-L507-M507-N507-O507-P507-Q507-R507</f>
        <v>0</v>
      </c>
      <c r="T507" s="220">
        <f>COUNTIFS($I$265:$I$288,"&lt;.1")</f>
        <v>0</v>
      </c>
      <c r="U507" s="220">
        <f>COUNTIFS($I$265:$I$288,"&lt;=0")</f>
        <v>0</v>
      </c>
      <c r="V507" s="220">
        <v>0</v>
      </c>
      <c r="W507" s="220">
        <f>COUNTIFS($I$265:$I$288,"&gt;=0.8137")</f>
        <v>13</v>
      </c>
      <c r="X507" s="215"/>
      <c r="Y507" s="215"/>
      <c r="Z507" s="215"/>
      <c r="AA507" s="144"/>
      <c r="AB507" s="144"/>
      <c r="AC507" s="144"/>
      <c r="AE507" s="215"/>
      <c r="AH507" s="23"/>
    </row>
    <row r="508" spans="1:34" s="141" customFormat="1" x14ac:dyDescent="0.2">
      <c r="A508" s="76" t="s">
        <v>868</v>
      </c>
      <c r="B508" s="215"/>
      <c r="C508" s="215"/>
      <c r="D508" s="216"/>
      <c r="E508" s="215"/>
      <c r="F508" s="215"/>
      <c r="G508" s="144"/>
      <c r="H508" s="220">
        <f>COUNTA($H$300:$H$314)-V508</f>
        <v>15</v>
      </c>
      <c r="I508" s="220">
        <f>COUNTIFS($I$300:$I$314,"&gt;1")</f>
        <v>0</v>
      </c>
      <c r="J508" s="220">
        <f>COUNTIFS($I$300:$I$314,"1")</f>
        <v>9</v>
      </c>
      <c r="K508" s="220">
        <f>COUNTIFS($I$300:$I$314,"&gt;=.9")-I508-J508</f>
        <v>0</v>
      </c>
      <c r="L508" s="220">
        <f>COUNTIFS($I$300:$I$314,"&gt;=.8")-I508-J508-K508</f>
        <v>1</v>
      </c>
      <c r="M508" s="220">
        <f>COUNTIFS($I$300:$I$314,"&gt;=.7")-I508-J508-K508-L508</f>
        <v>0</v>
      </c>
      <c r="N508" s="220">
        <f>COUNTIFS($I$300:$I$314,"&gt;=.6")-I508-J508-K508-L508-M508</f>
        <v>1</v>
      </c>
      <c r="O508" s="220">
        <f>COUNTIFS($I$300:$I$314,"&gt;=.5")-I508-J508-K508-L508-M508-N508</f>
        <v>0</v>
      </c>
      <c r="P508" s="220">
        <f>COUNTIFS($I$300:$I$314,"&gt;=.4")-I508-J508-K508-L508-M508-N508-O508</f>
        <v>2</v>
      </c>
      <c r="Q508" s="220">
        <f>COUNTIFS($I$300:$I$314,"&gt;=.3")-I508-J508-K508-L508-M508-N508-O508-P508</f>
        <v>2</v>
      </c>
      <c r="R508" s="220">
        <f>COUNTIFS($I$300:$I$314,"&gt;=.2")-I508-J508-K508-L508-M508-N508-O508-P508-Q508</f>
        <v>0</v>
      </c>
      <c r="S508" s="220">
        <f>COUNTIFS($I$300:$I$314,"&gt;=.1")-I508-J508-K508-L508-M508-N508-O508-P508-Q508-R508</f>
        <v>0</v>
      </c>
      <c r="T508" s="220">
        <f>COUNTIFS($I$300:$I$314,"&lt;.1")</f>
        <v>0</v>
      </c>
      <c r="U508" s="220">
        <f>COUNTIFS($I$300:$I$314,"&lt;=0")</f>
        <v>0</v>
      </c>
      <c r="V508" s="220">
        <v>0</v>
      </c>
      <c r="W508" s="220">
        <f>COUNTIFS($I$300:$I$314,"&gt;=0.8137")</f>
        <v>10</v>
      </c>
      <c r="X508" s="215"/>
      <c r="Y508" s="215"/>
      <c r="Z508" s="215"/>
      <c r="AA508" s="144"/>
      <c r="AB508" s="144"/>
      <c r="AC508" s="144"/>
      <c r="AE508" s="215"/>
      <c r="AH508" s="23"/>
    </row>
    <row r="509" spans="1:34" s="141" customFormat="1" x14ac:dyDescent="0.2">
      <c r="A509" s="76" t="s">
        <v>869</v>
      </c>
      <c r="B509" s="215"/>
      <c r="C509" s="215"/>
      <c r="D509" s="216"/>
      <c r="E509" s="215"/>
      <c r="F509" s="215"/>
      <c r="G509" s="144"/>
      <c r="H509" s="220">
        <f>COUNTA($H$326:$H$343)-V509</f>
        <v>18</v>
      </c>
      <c r="I509" s="220">
        <f>COUNTIFS($I$326:$I$343,"&gt;1")</f>
        <v>0</v>
      </c>
      <c r="J509" s="220">
        <f>COUNTIFS($I$326:$I$343,"1")</f>
        <v>3</v>
      </c>
      <c r="K509" s="220">
        <f>COUNTIFS($I$326:$I$343,"&gt;=.9")-I509-J509</f>
        <v>2</v>
      </c>
      <c r="L509" s="220">
        <f>COUNTIFS($I$326:$I$343,"&gt;=.8")-I509-J509-K509</f>
        <v>2</v>
      </c>
      <c r="M509" s="220">
        <f>COUNTIFS($I$326:$I$343,"&gt;=.7")-I509-J509-K509-L509</f>
        <v>3</v>
      </c>
      <c r="N509" s="220">
        <f>COUNTIFS($I$326:$I$343,"&gt;=.6")-I509-J509-K509-L509-M509</f>
        <v>4</v>
      </c>
      <c r="O509" s="220">
        <f>COUNTIFS($I$326:$I$343,"&gt;=.5")-I509-J509-K509-L509-M509-N509</f>
        <v>2</v>
      </c>
      <c r="P509" s="220">
        <f>COUNTIFS($I$326:$I$343,"&gt;=.4")-I509-J509-K509-L509-M509-N509-O509</f>
        <v>0</v>
      </c>
      <c r="Q509" s="220">
        <f>COUNTIFS($I$326:$I$343,"&gt;=.3")-I509-J509-K509-L509-M509-N509-O509-P509</f>
        <v>2</v>
      </c>
      <c r="R509" s="220">
        <f>COUNTIFS($I$326:$I$343,"&gt;=.2")-I509-J509-K509-L509-M509-N509-O509-P509-Q509</f>
        <v>0</v>
      </c>
      <c r="S509" s="220">
        <f>COUNTIFS($I$326:$I$343,"&gt;=.1")-I509-J509-K509-L509-M509-N509-O509-P509-Q509-R509</f>
        <v>0</v>
      </c>
      <c r="T509" s="220">
        <f>COUNTIFS($I$326:$I$343,"&lt;.1")</f>
        <v>0</v>
      </c>
      <c r="U509" s="220">
        <f>COUNTIFS($I$326:$I$343,"&lt;=0")</f>
        <v>0</v>
      </c>
      <c r="V509" s="221">
        <v>0</v>
      </c>
      <c r="W509" s="220">
        <f>COUNTIFS($I$326:$I$343,"&gt;=0.8137")</f>
        <v>6</v>
      </c>
      <c r="X509" s="215"/>
      <c r="Y509" s="215"/>
      <c r="Z509" s="215"/>
      <c r="AA509" s="144"/>
      <c r="AB509" s="144"/>
      <c r="AC509" s="144"/>
      <c r="AE509" s="215"/>
      <c r="AH509" s="23"/>
    </row>
    <row r="510" spans="1:34" s="141" customFormat="1" x14ac:dyDescent="0.2">
      <c r="A510" s="76" t="s">
        <v>870</v>
      </c>
      <c r="B510" s="215"/>
      <c r="C510" s="215"/>
      <c r="D510" s="216"/>
      <c r="E510" s="215"/>
      <c r="F510" s="215"/>
      <c r="G510" s="144"/>
      <c r="H510" s="220">
        <f>COUNTA($H$355:$H$389)-V510</f>
        <v>34</v>
      </c>
      <c r="I510" s="220">
        <f>COUNTIFS($I$355:$I$389,"&gt;1")</f>
        <v>1</v>
      </c>
      <c r="J510" s="220">
        <f>COUNTIFS($I$355:$I$389,"1")</f>
        <v>14</v>
      </c>
      <c r="K510" s="220">
        <f>COUNTIFS($I$355:$I$389,"&gt;=.9")-I510-J510</f>
        <v>2</v>
      </c>
      <c r="L510" s="220">
        <f>COUNTIFS($I$355:$I$389,"&gt;=.8")-I510-J510-K510</f>
        <v>3</v>
      </c>
      <c r="M510" s="220">
        <f>COUNTIFS($I$355:$I$389,"&gt;=.7")-I510-J510-K510-L510</f>
        <v>4</v>
      </c>
      <c r="N510" s="220">
        <f>COUNTIFS($I$355:$I$389,"&gt;=.6")-I510-J510-K510-L510-M510</f>
        <v>1</v>
      </c>
      <c r="O510" s="220">
        <f>COUNTIFS($I$355:$I$389,"&gt;=.5")-I510-J510-K510-L510-M510-N510</f>
        <v>2</v>
      </c>
      <c r="P510" s="220">
        <f>COUNTIFS($I$355:$I$389,"&gt;=.4")-I510-J510-K510-L510-M510-N510-O510</f>
        <v>2</v>
      </c>
      <c r="Q510" s="220">
        <f>COUNTIFS($I$355:$I$389,"&gt;=.3")-I510-J510-K510-L510-M510-N510-O510-P510</f>
        <v>2</v>
      </c>
      <c r="R510" s="220">
        <f>COUNTIFS($I$355:$I$389,"&gt;=.2")-I510-J510-K510-L510-M510-N510-O510-P510-Q510</f>
        <v>1</v>
      </c>
      <c r="S510" s="220">
        <f>COUNTIFS($I$355:$I$389,"&gt;=.1")-I510-J510-K510-L510-M510-N510-O510-P510-Q510-R510</f>
        <v>1</v>
      </c>
      <c r="T510" s="220">
        <f>COUNTIFS($I$355:$I$389,"&lt;.1")</f>
        <v>1</v>
      </c>
      <c r="U510" s="220">
        <f>COUNTIFS($I$355:$I$389,"&lt;=0")</f>
        <v>1</v>
      </c>
      <c r="V510" s="221">
        <v>1</v>
      </c>
      <c r="W510" s="220">
        <f>COUNTIFS($I$355:$I$389,"&gt;=0.8137")</f>
        <v>19</v>
      </c>
      <c r="X510" s="215"/>
      <c r="Y510" s="215"/>
      <c r="Z510" s="215"/>
      <c r="AA510" s="144"/>
      <c r="AB510" s="144"/>
      <c r="AC510" s="144"/>
      <c r="AE510" s="215"/>
      <c r="AH510" s="23"/>
    </row>
    <row r="511" spans="1:34" s="141" customFormat="1" x14ac:dyDescent="0.2">
      <c r="A511" s="76" t="s">
        <v>871</v>
      </c>
      <c r="B511" s="215"/>
      <c r="C511" s="215"/>
      <c r="D511" s="216"/>
      <c r="E511" s="215"/>
      <c r="F511" s="215"/>
      <c r="G511" s="144"/>
      <c r="H511" s="220">
        <f>COUNTA($H$401:$H$447)-V511</f>
        <v>47</v>
      </c>
      <c r="I511" s="220">
        <f>COUNTIFS($I$401:$I$447,"&gt;1")</f>
        <v>2</v>
      </c>
      <c r="J511" s="220">
        <f>COUNTIFS($I$401:$I$447,"1")</f>
        <v>34</v>
      </c>
      <c r="K511" s="220">
        <f>COUNTIFS($I$401:$I$447,"&gt;=.9")-I511-J511</f>
        <v>0</v>
      </c>
      <c r="L511" s="220">
        <f>COUNTIFS($I$401:$I$447,"&gt;=.8")-I511-J511-K511</f>
        <v>1</v>
      </c>
      <c r="M511" s="220">
        <f>COUNTIFS($I$401:$I$447,"&gt;=.7")-I511-J511-K511-L511</f>
        <v>1</v>
      </c>
      <c r="N511" s="220">
        <f>COUNTIFS($I$401:$I$447,"&gt;=.6")-I511-J511-K511-L511-M511</f>
        <v>2</v>
      </c>
      <c r="O511" s="220">
        <f>COUNTIFS($I$401:$I$447,"&gt;=.5")-I511-J511-K511-L511-M511-N511</f>
        <v>4</v>
      </c>
      <c r="P511" s="220">
        <f>COUNTIFS($I$401:$I$447,"&gt;=.4")-I511-J511-K511-L511-M511-N511-O511</f>
        <v>2</v>
      </c>
      <c r="Q511" s="220">
        <f>COUNTIFS($I$401:$I$447,"&gt;=.3")-I511-J511-K511-L511-M511-N511-O511-P511</f>
        <v>0</v>
      </c>
      <c r="R511" s="220">
        <f>COUNTIFS($I$401:$I$447,"&gt;=.2")-I511-J511-K511-L511-M511-N511-O511-P511-Q511</f>
        <v>0</v>
      </c>
      <c r="S511" s="220">
        <f>COUNTIFS($I$401:$I$447,"&gt;=.1")-I511-J511-K511-L511-M511-N511-O511-P511-Q511-R511</f>
        <v>0</v>
      </c>
      <c r="T511" s="220">
        <f>COUNTIFS($I$401:$I$447,"&lt;.1")</f>
        <v>1</v>
      </c>
      <c r="U511" s="220">
        <f>COUNTIFS($I$401:$I$447,"&lt;=0")</f>
        <v>1</v>
      </c>
      <c r="V511" s="221">
        <v>0</v>
      </c>
      <c r="W511" s="220">
        <f>COUNTIFS($I$401:$I$447,"&gt;=0.8137")</f>
        <v>37</v>
      </c>
      <c r="X511" s="215"/>
      <c r="Y511" s="215"/>
      <c r="Z511" s="215"/>
      <c r="AA511" s="144"/>
      <c r="AB511" s="144"/>
      <c r="AC511" s="144"/>
      <c r="AE511" s="215"/>
      <c r="AH511" s="23"/>
    </row>
    <row r="512" spans="1:34" s="141" customFormat="1" x14ac:dyDescent="0.2">
      <c r="A512" s="76" t="s">
        <v>872</v>
      </c>
      <c r="B512" s="215"/>
      <c r="C512" s="215"/>
      <c r="D512" s="216"/>
      <c r="E512" s="215"/>
      <c r="F512" s="215"/>
      <c r="H512" s="220">
        <f>COUNTA($H$460:$H$487)-V512</f>
        <v>27</v>
      </c>
      <c r="I512" s="220">
        <f>COUNTIFS($I$460:$I$487,"&gt;1")</f>
        <v>1</v>
      </c>
      <c r="J512" s="220">
        <f>COUNTIFS($I$460:$I$487,"1")</f>
        <v>14</v>
      </c>
      <c r="K512" s="220">
        <f>COUNTIFS($I$460:$I$487,"&gt;=.9")-I512-J512</f>
        <v>1</v>
      </c>
      <c r="L512" s="220">
        <f>COUNTIFS($I$460:$I$487,"&gt;=.8")-I512-J512-K512</f>
        <v>3</v>
      </c>
      <c r="M512" s="220">
        <f>COUNTIFS($I$460:$I$487,"&gt;=.7")-I512-J512-K512-L512</f>
        <v>2</v>
      </c>
      <c r="N512" s="220">
        <f>COUNTIFS($I$460:$I$487,"&gt;=.6")-I512-J512-K512-L512-M512</f>
        <v>0</v>
      </c>
      <c r="O512" s="220">
        <f>COUNTIFS($I$460:$I$487,"&gt;=.5")-I512-J512-K512-L512-M512-N512</f>
        <v>1</v>
      </c>
      <c r="P512" s="220">
        <f>COUNTIFS($I$460:$I$487,"&gt;=.4")-I512-J512-K512-L512-M512-N512-O512</f>
        <v>4</v>
      </c>
      <c r="Q512" s="220">
        <f>COUNTIFS($I$460:$I$487,"&gt;=.3")-I512-J512-K512-L512-M512-N512-O512-P512</f>
        <v>0</v>
      </c>
      <c r="R512" s="220">
        <f>COUNTIFS($I$460:$I$487,"&gt;=.2")-I512-J512-K512-L512-M512-N512-O512-P512-Q512</f>
        <v>1</v>
      </c>
      <c r="S512" s="220">
        <f>COUNTIFS($I$460:$I$487,"&gt;=.1")-I512-J512-K512-L512-M512-N512-O512-P512-Q512-R512</f>
        <v>0</v>
      </c>
      <c r="T512" s="220">
        <f>COUNTIFS($I$460:$I$487,"&lt;.1")</f>
        <v>0</v>
      </c>
      <c r="U512" s="220">
        <f>COUNTIFS($I$460:$I$487,"&lt;=0")</f>
        <v>0</v>
      </c>
      <c r="V512" s="221">
        <v>1</v>
      </c>
      <c r="W512" s="220">
        <f>COUNTIFS($I$460:$I$487,"&gt;=0.8137")</f>
        <v>19</v>
      </c>
      <c r="X512" s="215"/>
      <c r="Y512" s="215"/>
      <c r="Z512" s="215"/>
      <c r="AA512" s="144"/>
      <c r="AB512" s="144"/>
      <c r="AC512" s="144"/>
      <c r="AE512" s="215"/>
      <c r="AH512" s="23"/>
    </row>
    <row r="513" spans="1:34" x14ac:dyDescent="0.2">
      <c r="A513" s="141"/>
      <c r="G513" s="21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1"/>
      <c r="T513" s="221"/>
      <c r="U513" s="221"/>
      <c r="V513" s="221"/>
      <c r="W513" s="220"/>
      <c r="X513" s="7"/>
      <c r="Y513" s="7"/>
      <c r="Z513" s="7"/>
      <c r="AH513" s="23"/>
    </row>
    <row r="514" spans="1:34" x14ac:dyDescent="0.2">
      <c r="A514" s="141"/>
      <c r="G514" s="21"/>
      <c r="H514" s="220">
        <f>SUM(H501:H513)</f>
        <v>352</v>
      </c>
      <c r="I514" s="220">
        <f t="shared" ref="I514:T514" si="61">SUM(I501:I513)</f>
        <v>10</v>
      </c>
      <c r="J514" s="220">
        <f t="shared" si="61"/>
        <v>159</v>
      </c>
      <c r="K514" s="220">
        <f t="shared" si="61"/>
        <v>22</v>
      </c>
      <c r="L514" s="220">
        <f t="shared" si="61"/>
        <v>16</v>
      </c>
      <c r="M514" s="220">
        <f t="shared" si="61"/>
        <v>28</v>
      </c>
      <c r="N514" s="220">
        <f t="shared" si="61"/>
        <v>23</v>
      </c>
      <c r="O514" s="220">
        <f t="shared" si="61"/>
        <v>23</v>
      </c>
      <c r="P514" s="220">
        <f t="shared" si="61"/>
        <v>30</v>
      </c>
      <c r="Q514" s="220">
        <f t="shared" si="61"/>
        <v>15</v>
      </c>
      <c r="R514" s="220">
        <f t="shared" si="61"/>
        <v>10</v>
      </c>
      <c r="S514" s="220">
        <f t="shared" si="61"/>
        <v>9</v>
      </c>
      <c r="T514" s="220">
        <f t="shared" si="61"/>
        <v>7</v>
      </c>
      <c r="U514" s="220">
        <f t="shared" ref="U514" si="62">SUM(U501:U513)</f>
        <v>6</v>
      </c>
      <c r="V514" s="220">
        <f>SUM(V501:V513)</f>
        <v>6</v>
      </c>
      <c r="W514" s="220">
        <f t="shared" ref="W514" si="63">SUM(W501:W513)</f>
        <v>205</v>
      </c>
      <c r="X514" s="7"/>
      <c r="Y514" s="7"/>
      <c r="Z514" s="7"/>
      <c r="AH514" s="23"/>
    </row>
  </sheetData>
  <pageMargins left="0" right="0" top="0" bottom="0" header="0" footer="0"/>
  <pageSetup paperSize="9" scale="89" orientation="landscape" r:id="rId1"/>
  <rowBreaks count="14" manualBreakCount="14">
    <brk id="39" max="16383" man="1"/>
    <brk id="82" max="16383" man="1"/>
    <brk id="120" max="16383" man="1"/>
    <brk id="158" max="16383" man="1"/>
    <brk id="199" max="16383" man="1"/>
    <brk id="214" max="16383" man="1"/>
    <brk id="256" max="16383" man="1"/>
    <brk id="291" max="16383" man="1"/>
    <brk id="317" max="16383" man="1"/>
    <brk id="346" max="16383" man="1"/>
    <brk id="383" max="16383" man="1"/>
    <brk id="393" max="16383" man="1"/>
    <brk id="452" max="16383" man="1"/>
    <brk id="490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>
      <selection activeCell="W39" sqref="W39"/>
    </sheetView>
  </sheetViews>
  <sheetFormatPr defaultColWidth="7.77734375" defaultRowHeight="14.25" x14ac:dyDescent="0.2"/>
  <cols>
    <col min="1" max="1" width="18.77734375" style="30" customWidth="1"/>
    <col min="2" max="2" width="1.6640625" style="25" customWidth="1"/>
    <col min="3" max="5" width="10.77734375" style="25" customWidth="1"/>
    <col min="6" max="6" width="9.77734375" style="25" bestFit="1" customWidth="1"/>
    <col min="7" max="7" width="9" style="25" bestFit="1" customWidth="1"/>
    <col min="8" max="9" width="7.77734375" style="25"/>
    <col min="10" max="11" width="10.77734375" style="25" hidden="1" customWidth="1"/>
    <col min="12" max="12" width="0" style="25" hidden="1" customWidth="1"/>
    <col min="13" max="13" width="7.77734375" style="25"/>
    <col min="14" max="17" width="9.21875" style="25" bestFit="1" customWidth="1"/>
    <col min="18" max="19" width="7.77734375" style="25"/>
    <col min="20" max="20" width="9.88671875" style="25" bestFit="1" customWidth="1"/>
    <col min="21" max="21" width="10.109375" style="25" bestFit="1" customWidth="1"/>
    <col min="22" max="22" width="2.6640625" style="25" customWidth="1"/>
    <col min="23" max="23" width="9.33203125" style="25" customWidth="1"/>
    <col min="24" max="16384" width="7.77734375" style="25"/>
  </cols>
  <sheetData>
    <row r="1" spans="1:26" ht="15" x14ac:dyDescent="0.25">
      <c r="A1" s="168" t="s">
        <v>1048</v>
      </c>
      <c r="B1" s="168"/>
      <c r="C1" s="168"/>
      <c r="D1" s="168"/>
    </row>
    <row r="2" spans="1:26" ht="15" x14ac:dyDescent="0.25">
      <c r="A2" s="168" t="s">
        <v>1071</v>
      </c>
      <c r="B2" s="168"/>
      <c r="C2" s="168"/>
      <c r="D2" s="168"/>
    </row>
    <row r="3" spans="1:26" ht="15" x14ac:dyDescent="0.25">
      <c r="A3" s="26"/>
      <c r="B3" s="27"/>
    </row>
    <row r="4" spans="1:26" ht="15" x14ac:dyDescent="0.25">
      <c r="T4" s="320" t="s">
        <v>1080</v>
      </c>
      <c r="U4" s="320"/>
    </row>
    <row r="5" spans="1:26" ht="15" x14ac:dyDescent="0.25">
      <c r="A5" s="26" t="s">
        <v>854</v>
      </c>
      <c r="B5" s="36"/>
      <c r="C5" s="166" t="s">
        <v>1054</v>
      </c>
      <c r="D5" s="166" t="s">
        <v>1055</v>
      </c>
      <c r="E5" s="166">
        <v>2020</v>
      </c>
      <c r="J5" s="167">
        <v>2020</v>
      </c>
      <c r="K5" s="167">
        <v>2020</v>
      </c>
      <c r="N5" s="167">
        <v>2020</v>
      </c>
      <c r="O5" s="167">
        <v>2020</v>
      </c>
      <c r="P5" s="167">
        <v>2020</v>
      </c>
      <c r="Q5" s="167">
        <v>2020</v>
      </c>
      <c r="T5" s="166" t="s">
        <v>1054</v>
      </c>
      <c r="U5" s="176">
        <v>2021</v>
      </c>
    </row>
    <row r="6" spans="1:26" ht="15" x14ac:dyDescent="0.25">
      <c r="C6" s="167" t="s">
        <v>1053</v>
      </c>
      <c r="D6" s="167" t="s">
        <v>1053</v>
      </c>
      <c r="E6" s="167" t="s">
        <v>1053</v>
      </c>
      <c r="F6" s="167" t="s">
        <v>1076</v>
      </c>
      <c r="G6" s="176" t="s">
        <v>1077</v>
      </c>
      <c r="J6" s="167" t="s">
        <v>859</v>
      </c>
      <c r="K6" s="167" t="s">
        <v>1077</v>
      </c>
      <c r="N6" s="167" t="s">
        <v>859</v>
      </c>
      <c r="O6" s="167" t="s">
        <v>859</v>
      </c>
      <c r="P6" s="167" t="s">
        <v>859</v>
      </c>
      <c r="Q6" s="167" t="s">
        <v>859</v>
      </c>
      <c r="T6" s="167" t="s">
        <v>1053</v>
      </c>
      <c r="U6" s="176" t="s">
        <v>1076</v>
      </c>
    </row>
    <row r="7" spans="1:26" ht="15" x14ac:dyDescent="0.25">
      <c r="C7" s="167" t="s">
        <v>1073</v>
      </c>
      <c r="D7" s="167" t="s">
        <v>1075</v>
      </c>
      <c r="E7" s="167" t="s">
        <v>1074</v>
      </c>
      <c r="F7" s="176">
        <v>2021</v>
      </c>
      <c r="G7" s="176">
        <v>2021</v>
      </c>
      <c r="N7" s="167" t="s">
        <v>1078</v>
      </c>
      <c r="O7" s="167" t="s">
        <v>1079</v>
      </c>
      <c r="P7" s="167" t="s">
        <v>1074</v>
      </c>
      <c r="T7" s="167" t="s">
        <v>1073</v>
      </c>
      <c r="U7" s="167" t="s">
        <v>1075</v>
      </c>
      <c r="W7" s="176" t="s">
        <v>1032</v>
      </c>
    </row>
    <row r="8" spans="1:26" x14ac:dyDescent="0.2">
      <c r="A8" s="30" t="s">
        <v>860</v>
      </c>
    </row>
    <row r="9" spans="1:26" ht="21.75" customHeight="1" x14ac:dyDescent="0.2">
      <c r="A9" s="76" t="s">
        <v>880</v>
      </c>
      <c r="C9" s="46">
        <f>'2021 Detail'!H39</f>
        <v>359442.07999999996</v>
      </c>
      <c r="D9" s="177">
        <f>SUM('2021 Detail'!P40:U40)</f>
        <v>206363.04</v>
      </c>
      <c r="E9" s="46">
        <f>ROUND((SUM('2020 detail'!AA39:AC39)),0)</f>
        <v>23531</v>
      </c>
      <c r="F9" s="46">
        <f t="shared" ref="F9:F20" si="0">SUM(C9:E9)</f>
        <v>589336.12</v>
      </c>
      <c r="G9" s="46">
        <f>'2021 Detail'!G39</f>
        <v>481879</v>
      </c>
      <c r="H9" s="164">
        <f>ROUND((F9/G9),4)</f>
        <v>1.2230000000000001</v>
      </c>
      <c r="J9" s="46">
        <f>'2020 detail'!H39</f>
        <v>400584.09</v>
      </c>
      <c r="K9" s="46">
        <f>'2021 Detail'!G40</f>
        <v>521177</v>
      </c>
      <c r="L9" s="164">
        <f>ROUND((J9/K9),4)</f>
        <v>0.76859999999999995</v>
      </c>
      <c r="N9" s="46">
        <f>SUM('2021 Detail'!J40:O40)</f>
        <v>170690.2</v>
      </c>
      <c r="O9" s="46">
        <f>D9</f>
        <v>206363.04</v>
      </c>
      <c r="P9" s="46">
        <f>E9</f>
        <v>23531</v>
      </c>
      <c r="Q9" s="46">
        <f>SUM(N9:P9)</f>
        <v>400584.24</v>
      </c>
      <c r="T9" s="46">
        <f>C9</f>
        <v>359442.07999999996</v>
      </c>
      <c r="U9" s="178">
        <f>ROUND(((0.75*G9)-T9),0)</f>
        <v>1967</v>
      </c>
      <c r="W9" s="48" t="s">
        <v>1082</v>
      </c>
      <c r="X9" s="48"/>
      <c r="Y9" s="48"/>
      <c r="Z9" s="48"/>
    </row>
    <row r="10" spans="1:26" ht="21.75" customHeight="1" x14ac:dyDescent="0.2">
      <c r="A10" s="76" t="s">
        <v>862</v>
      </c>
      <c r="C10" s="49">
        <f>'2021 Detail'!H81</f>
        <v>394993.43000000005</v>
      </c>
      <c r="D10" s="177">
        <f>SUM('2021 Detail'!P82:U82)</f>
        <v>228467.39999999997</v>
      </c>
      <c r="E10" s="46">
        <f>ROUND((SUM('2020 detail'!AA82:AC82)),0)</f>
        <v>32910</v>
      </c>
      <c r="F10" s="46">
        <f t="shared" si="0"/>
        <v>656370.83000000007</v>
      </c>
      <c r="G10" s="49">
        <f>'2021 Detail'!G81</f>
        <v>524092</v>
      </c>
      <c r="H10" s="164">
        <f t="shared" ref="H10:H30" si="1">ROUND((F10/G10),4)</f>
        <v>1.2524</v>
      </c>
      <c r="J10" s="49">
        <f>'2020 detail'!H82</f>
        <v>444698.33</v>
      </c>
      <c r="K10" s="49">
        <f>'2021 Detail'!G82</f>
        <v>524093</v>
      </c>
      <c r="L10" s="164">
        <f t="shared" ref="L10:L30" si="2">ROUND((J10/K10),4)</f>
        <v>0.84850000000000003</v>
      </c>
      <c r="N10" s="46">
        <f>SUM('2021 Detail'!J82:O82)</f>
        <v>183320.87</v>
      </c>
      <c r="O10" s="46">
        <f t="shared" ref="O10:O20" si="3">D10</f>
        <v>228467.39999999997</v>
      </c>
      <c r="P10" s="46">
        <f t="shared" ref="P10:P20" si="4">E10</f>
        <v>32910</v>
      </c>
      <c r="Q10" s="46">
        <f t="shared" ref="Q10:Q20" si="5">SUM(N10:P10)</f>
        <v>444698.26999999996</v>
      </c>
      <c r="T10" s="46">
        <f t="shared" ref="T10:T20" si="6">C10</f>
        <v>394993.43000000005</v>
      </c>
      <c r="U10" s="178">
        <f>ROUND(((0.685*G10)-T10),0)</f>
        <v>-35990</v>
      </c>
      <c r="W10" s="48" t="s">
        <v>1083</v>
      </c>
      <c r="X10" s="48"/>
      <c r="Y10" s="48"/>
      <c r="Z10" s="48"/>
    </row>
    <row r="11" spans="1:26" ht="21.75" customHeight="1" x14ac:dyDescent="0.2">
      <c r="A11" s="76" t="s">
        <v>863</v>
      </c>
      <c r="B11" s="51"/>
      <c r="C11" s="49">
        <f>'2021 Detail'!H119</f>
        <v>330736.88</v>
      </c>
      <c r="D11" s="177">
        <f>SUM('2021 Detail'!P120:U120)</f>
        <v>189313.71000000002</v>
      </c>
      <c r="E11" s="46">
        <f>ROUND((SUM('2020 detail'!AA119:AC119)),0)</f>
        <v>1956</v>
      </c>
      <c r="F11" s="46">
        <f t="shared" si="0"/>
        <v>522006.59</v>
      </c>
      <c r="G11" s="49">
        <f>'2021 Detail'!G119</f>
        <v>432074</v>
      </c>
      <c r="H11" s="164">
        <f t="shared" si="1"/>
        <v>1.2081</v>
      </c>
      <c r="J11" s="49">
        <f>'2020 detail'!H119</f>
        <v>355477.88</v>
      </c>
      <c r="K11" s="49">
        <f>'2021 Detail'!G120</f>
        <v>431974</v>
      </c>
      <c r="L11" s="164">
        <f t="shared" si="2"/>
        <v>0.82289999999999996</v>
      </c>
      <c r="N11" s="46">
        <f>SUM('2021 Detail'!J120:O120)</f>
        <v>164208.16999999998</v>
      </c>
      <c r="O11" s="46">
        <f t="shared" si="3"/>
        <v>189313.71000000002</v>
      </c>
      <c r="P11" s="46">
        <f t="shared" si="4"/>
        <v>1956</v>
      </c>
      <c r="Q11" s="46">
        <f t="shared" si="5"/>
        <v>355477.88</v>
      </c>
      <c r="T11" s="46">
        <f t="shared" si="6"/>
        <v>330736.88</v>
      </c>
      <c r="U11" s="46">
        <f>D11+E11</f>
        <v>191269.71000000002</v>
      </c>
      <c r="W11" s="48" t="s">
        <v>1084</v>
      </c>
      <c r="X11" s="48"/>
      <c r="Y11" s="48"/>
      <c r="Z11" s="48"/>
    </row>
    <row r="12" spans="1:26" ht="21.75" customHeight="1" x14ac:dyDescent="0.2">
      <c r="A12" s="76" t="s">
        <v>864</v>
      </c>
      <c r="B12" s="51"/>
      <c r="C12" s="49">
        <f>'2021 Detail'!H157</f>
        <v>1095075.04</v>
      </c>
      <c r="D12" s="177">
        <f>SUM('2021 Detail'!P158:U158)</f>
        <v>548123.65999999992</v>
      </c>
      <c r="E12" s="46">
        <f>ROUND((SUM('2020 detail'!AA157:AC157)),0)</f>
        <v>29000</v>
      </c>
      <c r="F12" s="46">
        <f t="shared" si="0"/>
        <v>1672198.7</v>
      </c>
      <c r="G12" s="49">
        <f>'2021 Detail'!G157</f>
        <v>1509284</v>
      </c>
      <c r="H12" s="164">
        <f t="shared" si="1"/>
        <v>1.1079000000000001</v>
      </c>
      <c r="J12" s="49">
        <f>'2020 detail'!H157</f>
        <v>1137089.3600000001</v>
      </c>
      <c r="K12" s="49">
        <f>'2021 Detail'!G158</f>
        <v>1509283.75</v>
      </c>
      <c r="L12" s="164">
        <f t="shared" si="2"/>
        <v>0.75339999999999996</v>
      </c>
      <c r="N12" s="46">
        <f>SUM('2021 Detail'!J158:O158)</f>
        <v>559965.69999999995</v>
      </c>
      <c r="O12" s="46">
        <f t="shared" si="3"/>
        <v>548123.65999999992</v>
      </c>
      <c r="P12" s="46">
        <f t="shared" si="4"/>
        <v>29000</v>
      </c>
      <c r="Q12" s="46">
        <f t="shared" si="5"/>
        <v>1137089.3599999999</v>
      </c>
      <c r="T12" s="46">
        <f t="shared" si="6"/>
        <v>1095075.04</v>
      </c>
      <c r="U12" s="178">
        <f>1050000-T12</f>
        <v>-45075.040000000037</v>
      </c>
      <c r="W12" s="48" t="s">
        <v>1085</v>
      </c>
      <c r="X12" s="48"/>
      <c r="Y12" s="48"/>
      <c r="Z12" s="48"/>
    </row>
    <row r="13" spans="1:26" ht="21.75" customHeight="1" x14ac:dyDescent="0.2">
      <c r="A13" s="76" t="s">
        <v>865</v>
      </c>
      <c r="B13" s="51"/>
      <c r="C13" s="49">
        <f>'2021 Detail'!H212</f>
        <v>447029.13</v>
      </c>
      <c r="D13" s="177">
        <f>SUM('2021 Detail'!P213:U213)</f>
        <v>280695.31000000006</v>
      </c>
      <c r="E13" s="46">
        <f>ROUND((SUM('2020 detail'!AA212:AC212)),0)</f>
        <v>7726</v>
      </c>
      <c r="F13" s="46">
        <f t="shared" si="0"/>
        <v>735450.44000000006</v>
      </c>
      <c r="G13" s="49">
        <f>'2021 Detail'!G212</f>
        <v>591261</v>
      </c>
      <c r="H13" s="164">
        <f t="shared" si="1"/>
        <v>1.2439</v>
      </c>
      <c r="J13" s="49">
        <f>'2020 detail'!H212</f>
        <v>456671.17</v>
      </c>
      <c r="K13" s="49">
        <f>'2021 Detail'!G213</f>
        <v>600487</v>
      </c>
      <c r="L13" s="164">
        <f t="shared" si="2"/>
        <v>0.76049999999999995</v>
      </c>
      <c r="N13" s="46">
        <f>SUM('2021 Detail'!J213:O213)</f>
        <v>168249.86</v>
      </c>
      <c r="O13" s="46">
        <f t="shared" si="3"/>
        <v>280695.31000000006</v>
      </c>
      <c r="P13" s="46">
        <f t="shared" si="4"/>
        <v>7726</v>
      </c>
      <c r="Q13" s="46">
        <f t="shared" si="5"/>
        <v>456671.17000000004</v>
      </c>
      <c r="T13" s="46">
        <f t="shared" si="6"/>
        <v>447029.13</v>
      </c>
      <c r="U13" s="178">
        <f>ROUND(((0.775*G13)-T13),0)</f>
        <v>11198</v>
      </c>
      <c r="W13" s="48" t="s">
        <v>1081</v>
      </c>
      <c r="X13" s="48"/>
      <c r="Y13" s="48"/>
      <c r="Z13" s="48"/>
    </row>
    <row r="14" spans="1:26" ht="21.75" customHeight="1" x14ac:dyDescent="0.2">
      <c r="A14" s="76" t="s">
        <v>866</v>
      </c>
      <c r="B14" s="51"/>
      <c r="C14" s="49">
        <f>'2021 Detail'!H255</f>
        <v>577484.24</v>
      </c>
      <c r="D14" s="177">
        <f>SUM('2021 Detail'!P256:U256)</f>
        <v>326229.12</v>
      </c>
      <c r="E14" s="46">
        <f>ROUND((SUM('2020 detail'!AA255:AC255)),0)</f>
        <v>15945</v>
      </c>
      <c r="F14" s="46">
        <f t="shared" si="0"/>
        <v>919658.36</v>
      </c>
      <c r="G14" s="49">
        <f>'2021 Detail'!G255</f>
        <v>773488</v>
      </c>
      <c r="H14" s="164">
        <f t="shared" si="1"/>
        <v>1.1890000000000001</v>
      </c>
      <c r="J14" s="49">
        <f>'2020 detail'!H255</f>
        <v>557591.54</v>
      </c>
      <c r="K14" s="49">
        <f>'2021 Detail'!G256</f>
        <v>773488</v>
      </c>
      <c r="L14" s="164">
        <f t="shared" si="2"/>
        <v>0.72089999999999999</v>
      </c>
      <c r="N14" s="46">
        <f>SUM('2021 Detail'!J256:O256)</f>
        <v>215417.42000000004</v>
      </c>
      <c r="O14" s="46">
        <f t="shared" si="3"/>
        <v>326229.12</v>
      </c>
      <c r="P14" s="46">
        <f t="shared" si="4"/>
        <v>15945</v>
      </c>
      <c r="Q14" s="46">
        <f t="shared" si="5"/>
        <v>557591.54</v>
      </c>
      <c r="T14" s="46">
        <f t="shared" si="6"/>
        <v>577484.24</v>
      </c>
      <c r="U14" s="46">
        <f>D14+E14</f>
        <v>342174.12</v>
      </c>
      <c r="W14" s="48" t="s">
        <v>1086</v>
      </c>
      <c r="X14" s="48"/>
      <c r="Y14" s="48"/>
      <c r="Z14" s="48"/>
    </row>
    <row r="15" spans="1:26" ht="21.75" customHeight="1" x14ac:dyDescent="0.2">
      <c r="A15" s="76" t="s">
        <v>867</v>
      </c>
      <c r="B15" s="51"/>
      <c r="C15" s="49">
        <f>'2021 Detail'!H290</f>
        <v>779971.76</v>
      </c>
      <c r="D15" s="177">
        <f>SUM('2021 Detail'!P291:U291)</f>
        <v>382708.97</v>
      </c>
      <c r="E15" s="46">
        <f>ROUND((SUM('2020 detail'!AA290:AC290)),0)</f>
        <v>16307</v>
      </c>
      <c r="F15" s="46">
        <f t="shared" si="0"/>
        <v>1178987.73</v>
      </c>
      <c r="G15" s="49">
        <f>'2021 Detail'!G290</f>
        <v>891905</v>
      </c>
      <c r="H15" s="164">
        <f t="shared" si="1"/>
        <v>1.3219000000000001</v>
      </c>
      <c r="J15" s="49">
        <f>'2020 detail'!H290</f>
        <v>769498.55</v>
      </c>
      <c r="K15" s="49">
        <f>'2021 Detail'!G291</f>
        <v>891904</v>
      </c>
      <c r="L15" s="164">
        <f t="shared" si="2"/>
        <v>0.86280000000000001</v>
      </c>
      <c r="N15" s="46">
        <f>SUM('2021 Detail'!J291:O291)</f>
        <v>370482.70999999996</v>
      </c>
      <c r="O15" s="46">
        <f t="shared" si="3"/>
        <v>382708.97</v>
      </c>
      <c r="P15" s="46">
        <f t="shared" si="4"/>
        <v>16307</v>
      </c>
      <c r="Q15" s="46">
        <f t="shared" si="5"/>
        <v>769498.67999999993</v>
      </c>
      <c r="T15" s="46">
        <f t="shared" si="6"/>
        <v>779971.76</v>
      </c>
      <c r="U15" s="178">
        <f>ROUND(((0.85*G15)-T15),0)</f>
        <v>-21853</v>
      </c>
      <c r="W15" s="48" t="s">
        <v>1087</v>
      </c>
      <c r="X15" s="48"/>
      <c r="Y15" s="48"/>
      <c r="Z15" s="48"/>
    </row>
    <row r="16" spans="1:26" ht="21.75" customHeight="1" x14ac:dyDescent="0.2">
      <c r="A16" s="76" t="s">
        <v>868</v>
      </c>
      <c r="B16" s="51"/>
      <c r="C16" s="49">
        <f>'2021 Detail'!H316</f>
        <v>449376</v>
      </c>
      <c r="D16" s="177">
        <f>SUM('2021 Detail'!P317:U317)</f>
        <v>238138.88</v>
      </c>
      <c r="E16" s="46">
        <f>ROUND((SUM('2020 detail'!AA316:AC316)),0)</f>
        <v>20000</v>
      </c>
      <c r="F16" s="46">
        <f t="shared" si="0"/>
        <v>707514.88</v>
      </c>
      <c r="G16" s="49">
        <f>'2021 Detail'!G316</f>
        <v>518541</v>
      </c>
      <c r="H16" s="164">
        <f t="shared" si="1"/>
        <v>1.3644000000000001</v>
      </c>
      <c r="J16" s="49">
        <f>'2020 detail'!H316</f>
        <v>415966</v>
      </c>
      <c r="K16" s="49">
        <f>'2021 Detail'!G317</f>
        <v>518541</v>
      </c>
      <c r="L16" s="164">
        <f t="shared" si="2"/>
        <v>0.80220000000000002</v>
      </c>
      <c r="N16" s="46">
        <f>SUM('2021 Detail'!J317:O317)</f>
        <v>157827.12000000002</v>
      </c>
      <c r="O16" s="46">
        <f t="shared" si="3"/>
        <v>238138.88</v>
      </c>
      <c r="P16" s="46">
        <f t="shared" si="4"/>
        <v>20000</v>
      </c>
      <c r="Q16" s="46">
        <f t="shared" si="5"/>
        <v>415966</v>
      </c>
      <c r="T16" s="46">
        <f t="shared" si="6"/>
        <v>449376</v>
      </c>
      <c r="U16" s="178">
        <f>ROUND(((0.815*G16)-T16),0)</f>
        <v>-26765</v>
      </c>
      <c r="W16" s="48" t="s">
        <v>1088</v>
      </c>
      <c r="X16" s="48"/>
      <c r="Y16" s="48"/>
      <c r="Z16" s="48"/>
    </row>
    <row r="17" spans="1:26" ht="21.75" customHeight="1" x14ac:dyDescent="0.2">
      <c r="A17" s="76" t="s">
        <v>869</v>
      </c>
      <c r="B17" s="51"/>
      <c r="C17" s="49">
        <f>'2021 Detail'!H345</f>
        <v>261644</v>
      </c>
      <c r="D17" s="177">
        <f>SUM('2021 Detail'!P346:U346)</f>
        <v>126711.07999999999</v>
      </c>
      <c r="E17" s="46">
        <f>ROUND((SUM('2020 detail'!AA345:AC345)),0)</f>
        <v>1700</v>
      </c>
      <c r="F17" s="46">
        <f t="shared" si="0"/>
        <v>390055.07999999996</v>
      </c>
      <c r="G17" s="49">
        <f>'2021 Detail'!G345</f>
        <v>316155</v>
      </c>
      <c r="H17" s="164">
        <f t="shared" si="1"/>
        <v>1.2337</v>
      </c>
      <c r="J17" s="49">
        <f>'2020 detail'!H345</f>
        <v>256025.01999999996</v>
      </c>
      <c r="K17" s="49">
        <f>'2021 Detail'!G346</f>
        <v>316155</v>
      </c>
      <c r="L17" s="164">
        <f t="shared" si="2"/>
        <v>0.80979999999999996</v>
      </c>
      <c r="N17" s="46">
        <f>SUM('2021 Detail'!J346:O346)</f>
        <v>127613.93999999999</v>
      </c>
      <c r="O17" s="46">
        <f t="shared" si="3"/>
        <v>126711.07999999999</v>
      </c>
      <c r="P17" s="46">
        <f t="shared" si="4"/>
        <v>1700</v>
      </c>
      <c r="Q17" s="46">
        <f t="shared" si="5"/>
        <v>256025.01999999996</v>
      </c>
      <c r="T17" s="46">
        <f t="shared" si="6"/>
        <v>261644</v>
      </c>
      <c r="U17" s="46">
        <f>D17+E17</f>
        <v>128411.07999999999</v>
      </c>
      <c r="W17" s="48"/>
      <c r="X17" s="48"/>
      <c r="Y17" s="48"/>
      <c r="Z17" s="48"/>
    </row>
    <row r="18" spans="1:26" ht="21.75" customHeight="1" x14ac:dyDescent="0.2">
      <c r="A18" s="76" t="s">
        <v>870</v>
      </c>
      <c r="B18" s="51"/>
      <c r="C18" s="49">
        <f>'2021 Detail'!H391</f>
        <v>458694</v>
      </c>
      <c r="D18" s="177">
        <f>SUM('2021 Detail'!P392:U392)</f>
        <v>247831.47</v>
      </c>
      <c r="E18" s="46">
        <f>ROUND((SUM('2020 detail'!AA391:AC391)),0)</f>
        <v>9500</v>
      </c>
      <c r="F18" s="46">
        <f t="shared" si="0"/>
        <v>716025.47</v>
      </c>
      <c r="G18" s="49">
        <f>'2021 Detail'!G391</f>
        <v>538613</v>
      </c>
      <c r="H18" s="164">
        <f t="shared" si="1"/>
        <v>1.3293999999999999</v>
      </c>
      <c r="J18" s="49">
        <f>'2020 detail'!H391</f>
        <v>448478.05</v>
      </c>
      <c r="K18" s="49">
        <f>'2021 Detail'!G392</f>
        <v>538613</v>
      </c>
      <c r="L18" s="164">
        <f t="shared" si="2"/>
        <v>0.8327</v>
      </c>
      <c r="N18" s="46">
        <f>SUM('2021 Detail'!J392:O392)</f>
        <v>191146.58000000002</v>
      </c>
      <c r="O18" s="46">
        <f t="shared" si="3"/>
        <v>247831.47</v>
      </c>
      <c r="P18" s="46">
        <f t="shared" si="4"/>
        <v>9500</v>
      </c>
      <c r="Q18" s="46">
        <f t="shared" si="5"/>
        <v>448478.05000000005</v>
      </c>
      <c r="T18" s="46">
        <f t="shared" si="6"/>
        <v>458694</v>
      </c>
      <c r="U18" s="46">
        <f>D18+E18</f>
        <v>257331.47</v>
      </c>
      <c r="W18" s="48"/>
      <c r="X18" s="48"/>
      <c r="Y18" s="48"/>
      <c r="Z18" s="48"/>
    </row>
    <row r="19" spans="1:26" ht="21.75" customHeight="1" x14ac:dyDescent="0.2">
      <c r="A19" s="76" t="s">
        <v>871</v>
      </c>
      <c r="B19" s="51"/>
      <c r="C19" s="49">
        <f>'2021 Detail'!H450</f>
        <v>600704.42999999993</v>
      </c>
      <c r="D19" s="177">
        <f>SUM('2021 Detail'!P451:U451)</f>
        <v>291416.71000000008</v>
      </c>
      <c r="E19" s="46">
        <f>ROUND((SUM('2020 detail'!AA450:AC450)),0)</f>
        <v>1122</v>
      </c>
      <c r="F19" s="46">
        <f t="shared" si="0"/>
        <v>893243.14</v>
      </c>
      <c r="G19" s="49">
        <f>'2021 Detail'!G450</f>
        <v>623163</v>
      </c>
      <c r="H19" s="164">
        <f t="shared" si="1"/>
        <v>1.4334</v>
      </c>
      <c r="J19" s="49">
        <f>'2020 detail'!H450</f>
        <v>591124.86</v>
      </c>
      <c r="K19" s="49">
        <f>'2021 Detail'!G451</f>
        <v>630674</v>
      </c>
      <c r="L19" s="164">
        <f t="shared" si="2"/>
        <v>0.93730000000000002</v>
      </c>
      <c r="N19" s="46">
        <f>SUM('2021 Detail'!J451:O451)</f>
        <v>298586.32000000007</v>
      </c>
      <c r="O19" s="46">
        <f t="shared" si="3"/>
        <v>291416.71000000008</v>
      </c>
      <c r="P19" s="46">
        <f t="shared" si="4"/>
        <v>1122</v>
      </c>
      <c r="Q19" s="46">
        <f t="shared" si="5"/>
        <v>591125.03000000014</v>
      </c>
      <c r="T19" s="46">
        <f t="shared" si="6"/>
        <v>600704.42999999993</v>
      </c>
      <c r="U19" s="46">
        <f>D19+E19</f>
        <v>292538.71000000008</v>
      </c>
      <c r="W19" s="48"/>
      <c r="X19" s="48"/>
      <c r="Y19" s="48"/>
      <c r="Z19" s="48"/>
    </row>
    <row r="20" spans="1:26" ht="21.75" customHeight="1" x14ac:dyDescent="0.2">
      <c r="A20" s="76" t="s">
        <v>872</v>
      </c>
      <c r="B20" s="51"/>
      <c r="C20" s="49">
        <f>'2021 Detail'!H489</f>
        <v>832842.78</v>
      </c>
      <c r="D20" s="177">
        <f>SUM('2021 Detail'!P490:U490)</f>
        <v>424885.32000000007</v>
      </c>
      <c r="E20" s="46">
        <f>ROUND((SUM('2020 detail'!AA489:AC489)),0)</f>
        <v>9409</v>
      </c>
      <c r="F20" s="46">
        <f t="shared" si="0"/>
        <v>1267137.1000000001</v>
      </c>
      <c r="G20" s="49">
        <f>'2021 Detail'!G489</f>
        <v>932398</v>
      </c>
      <c r="H20" s="164">
        <f t="shared" si="1"/>
        <v>1.359</v>
      </c>
      <c r="J20" s="49">
        <f>'2020 detail'!H489+1</f>
        <v>830264.46</v>
      </c>
      <c r="K20" s="49">
        <f>'2021 Detail'!G490</f>
        <v>932398</v>
      </c>
      <c r="L20" s="164">
        <f t="shared" si="2"/>
        <v>0.89049999999999996</v>
      </c>
      <c r="N20" s="46">
        <f>SUM('2021 Detail'!J490:O490)</f>
        <v>395969.20999999996</v>
      </c>
      <c r="O20" s="46">
        <f t="shared" si="3"/>
        <v>424885.32000000007</v>
      </c>
      <c r="P20" s="46">
        <f t="shared" si="4"/>
        <v>9409</v>
      </c>
      <c r="Q20" s="46">
        <f t="shared" si="5"/>
        <v>830263.53</v>
      </c>
      <c r="T20" s="46">
        <f t="shared" si="6"/>
        <v>832842.78</v>
      </c>
      <c r="U20" s="178">
        <f>ROUND(((0.88*G20)-T20),0)</f>
        <v>-12333</v>
      </c>
      <c r="W20" s="48" t="s">
        <v>1089</v>
      </c>
      <c r="X20" s="48"/>
      <c r="Y20" s="48"/>
      <c r="Z20" s="48"/>
    </row>
    <row r="21" spans="1:26" ht="21.75" customHeight="1" x14ac:dyDescent="0.2">
      <c r="A21" s="45"/>
      <c r="B21" s="51"/>
      <c r="C21" s="49"/>
      <c r="H21" s="164"/>
      <c r="L21" s="164"/>
      <c r="U21" s="46"/>
      <c r="W21" s="48"/>
      <c r="X21" s="48"/>
      <c r="Y21" s="48"/>
      <c r="Z21" s="48"/>
    </row>
    <row r="22" spans="1:26" ht="15" thickBot="1" x14ac:dyDescent="0.25">
      <c r="A22" s="45"/>
      <c r="B22" s="51"/>
      <c r="C22" s="53">
        <f>SUM(C9:C21)</f>
        <v>6587993.7699999996</v>
      </c>
      <c r="D22" s="53">
        <f>SUM(D9:D21)</f>
        <v>3490884.67</v>
      </c>
      <c r="E22" s="53">
        <f>SUM(E9:E21)</f>
        <v>169106</v>
      </c>
      <c r="F22" s="53">
        <f t="shared" ref="F22:G22" si="7">SUM(F9:F21)</f>
        <v>10247984.439999999</v>
      </c>
      <c r="G22" s="53">
        <f t="shared" si="7"/>
        <v>8132853</v>
      </c>
      <c r="H22" s="164">
        <f t="shared" si="1"/>
        <v>1.2601</v>
      </c>
      <c r="J22" s="53">
        <f t="shared" ref="J22" si="8">SUM(J9:J21)</f>
        <v>6663469.3099999996</v>
      </c>
      <c r="K22" s="53">
        <f t="shared" ref="K22" si="9">SUM(K9:K21)</f>
        <v>8188787.75</v>
      </c>
      <c r="L22" s="164">
        <f t="shared" si="2"/>
        <v>0.81369999999999998</v>
      </c>
      <c r="N22" s="53">
        <f t="shared" ref="N22:U22" si="10">SUM(N9:N21)</f>
        <v>3003478.0999999996</v>
      </c>
      <c r="O22" s="53">
        <f t="shared" si="10"/>
        <v>3490884.67</v>
      </c>
      <c r="P22" s="53">
        <f t="shared" si="10"/>
        <v>169106</v>
      </c>
      <c r="Q22" s="53">
        <f t="shared" si="10"/>
        <v>6663468.7699999996</v>
      </c>
      <c r="T22" s="53">
        <f t="shared" si="10"/>
        <v>6587993.7699999996</v>
      </c>
      <c r="U22" s="53">
        <f t="shared" si="10"/>
        <v>1082874.05</v>
      </c>
      <c r="W22" s="180">
        <f>SUM(T22:U22)</f>
        <v>7670867.8199999994</v>
      </c>
      <c r="X22" s="25">
        <f>W22/G22</f>
        <v>0.94319518869946373</v>
      </c>
      <c r="Y22" s="48"/>
      <c r="Z22" s="48"/>
    </row>
    <row r="23" spans="1:26" ht="15" thickTop="1" x14ac:dyDescent="0.2">
      <c r="A23" s="45"/>
      <c r="B23" s="51"/>
      <c r="C23" s="57"/>
      <c r="D23" s="57"/>
      <c r="H23" s="164"/>
      <c r="L23" s="164"/>
      <c r="W23" s="48"/>
      <c r="X23" s="48"/>
      <c r="Y23" s="48"/>
      <c r="Z23" s="48"/>
    </row>
    <row r="24" spans="1:26" x14ac:dyDescent="0.2">
      <c r="A24" s="45"/>
      <c r="B24" s="51"/>
      <c r="C24" s="57"/>
      <c r="D24" s="57"/>
      <c r="H24" s="164"/>
      <c r="L24" s="164"/>
      <c r="W24" s="46">
        <f>Q22</f>
        <v>6663468.7699999996</v>
      </c>
      <c r="X24" s="48">
        <f>W24/D35</f>
        <v>0.81373077065861266</v>
      </c>
      <c r="Y24" s="48"/>
      <c r="Z24" s="48"/>
    </row>
    <row r="25" spans="1:26" ht="15" x14ac:dyDescent="0.25">
      <c r="A25" s="26" t="s">
        <v>873</v>
      </c>
      <c r="H25" s="164"/>
      <c r="L25" s="164"/>
      <c r="W25" s="48"/>
      <c r="X25" s="48"/>
      <c r="Y25" s="48"/>
      <c r="Z25" s="48"/>
    </row>
    <row r="26" spans="1:26" x14ac:dyDescent="0.2">
      <c r="A26" s="45"/>
      <c r="H26" s="164"/>
      <c r="L26" s="164"/>
      <c r="W26" s="48"/>
      <c r="X26" s="48"/>
      <c r="Y26" s="48"/>
      <c r="Z26" s="48"/>
    </row>
    <row r="27" spans="1:26" ht="21.75" customHeight="1" x14ac:dyDescent="0.2">
      <c r="A27" s="76" t="s">
        <v>874</v>
      </c>
      <c r="C27" s="46">
        <f>SUM(C9:C14)</f>
        <v>3204760.8</v>
      </c>
      <c r="D27" s="46">
        <f>SUM(D9:D14)</f>
        <v>1779192.2399999998</v>
      </c>
      <c r="E27" s="46">
        <f>SUM(E9:E14)</f>
        <v>111068</v>
      </c>
      <c r="F27" s="46">
        <f t="shared" ref="F27:G27" si="11">SUM(F9:F14)</f>
        <v>5095021.04</v>
      </c>
      <c r="G27" s="46">
        <f t="shared" si="11"/>
        <v>4312078</v>
      </c>
      <c r="H27" s="164">
        <f t="shared" si="1"/>
        <v>1.1816</v>
      </c>
      <c r="J27" s="46">
        <f t="shared" ref="J27:K27" si="12">SUM(J9:J14)</f>
        <v>3352112.37</v>
      </c>
      <c r="K27" s="46">
        <f t="shared" si="12"/>
        <v>4360502.75</v>
      </c>
      <c r="L27" s="164">
        <f t="shared" si="2"/>
        <v>0.76870000000000005</v>
      </c>
      <c r="N27" s="46">
        <f t="shared" ref="N27:Q27" si="13">SUM(N9:N14)</f>
        <v>1461852.2199999997</v>
      </c>
      <c r="O27" s="46">
        <f t="shared" si="13"/>
        <v>1779192.2399999998</v>
      </c>
      <c r="P27" s="46">
        <f t="shared" si="13"/>
        <v>111068</v>
      </c>
      <c r="Q27" s="46">
        <f t="shared" si="13"/>
        <v>3352112.46</v>
      </c>
    </row>
    <row r="28" spans="1:26" ht="21.75" customHeight="1" x14ac:dyDescent="0.2">
      <c r="A28" s="76" t="s">
        <v>875</v>
      </c>
      <c r="C28" s="46">
        <f>SUM(C15:C20)</f>
        <v>3383232.9699999997</v>
      </c>
      <c r="D28" s="46">
        <f>SUM(D15:D20)</f>
        <v>1711692.43</v>
      </c>
      <c r="E28" s="46">
        <f>SUM(E15:E20)</f>
        <v>58038</v>
      </c>
      <c r="F28" s="46">
        <f t="shared" ref="F28:G28" si="14">SUM(F15:F20)</f>
        <v>5152963.4000000004</v>
      </c>
      <c r="G28" s="46">
        <f t="shared" si="14"/>
        <v>3820775</v>
      </c>
      <c r="H28" s="164">
        <f t="shared" si="1"/>
        <v>1.3487</v>
      </c>
      <c r="J28" s="46">
        <f t="shared" ref="J28:K28" si="15">SUM(J15:J20)</f>
        <v>3311356.94</v>
      </c>
      <c r="K28" s="46">
        <f t="shared" si="15"/>
        <v>3828285</v>
      </c>
      <c r="L28" s="164">
        <f t="shared" si="2"/>
        <v>0.86499999999999999</v>
      </c>
      <c r="N28" s="46">
        <f t="shared" ref="N28:Q28" si="16">SUM(N15:N20)</f>
        <v>1541625.88</v>
      </c>
      <c r="O28" s="46">
        <f t="shared" si="16"/>
        <v>1711692.43</v>
      </c>
      <c r="P28" s="46">
        <f t="shared" si="16"/>
        <v>58038</v>
      </c>
      <c r="Q28" s="46">
        <f t="shared" si="16"/>
        <v>3311356.3100000005</v>
      </c>
    </row>
    <row r="29" spans="1:26" x14ac:dyDescent="0.2">
      <c r="A29" s="45"/>
      <c r="H29" s="164"/>
      <c r="L29" s="164"/>
    </row>
    <row r="30" spans="1:26" ht="15" thickBot="1" x14ac:dyDescent="0.25">
      <c r="A30" s="45" t="s">
        <v>855</v>
      </c>
      <c r="C30" s="62">
        <f>SUM(C27:C29)</f>
        <v>6587993.7699999996</v>
      </c>
      <c r="D30" s="62">
        <f>SUM(D27:D29)</f>
        <v>3490884.67</v>
      </c>
      <c r="E30" s="62">
        <f>SUM(E27:E29)</f>
        <v>169106</v>
      </c>
      <c r="F30" s="62">
        <f t="shared" ref="F30:G30" si="17">SUM(F27:F29)</f>
        <v>10247984.440000001</v>
      </c>
      <c r="G30" s="62">
        <f t="shared" si="17"/>
        <v>8132853</v>
      </c>
      <c r="H30" s="164">
        <f t="shared" si="1"/>
        <v>1.2601</v>
      </c>
      <c r="J30" s="62">
        <f t="shared" ref="J30" si="18">SUM(J27:J29)</f>
        <v>6663469.3100000005</v>
      </c>
      <c r="K30" s="62">
        <f t="shared" ref="K30" si="19">SUM(K27:K29)</f>
        <v>8188787.75</v>
      </c>
      <c r="L30" s="164">
        <f t="shared" si="2"/>
        <v>0.81369999999999998</v>
      </c>
      <c r="N30" s="62">
        <f t="shared" ref="N30:Q30" si="20">SUM(N27:N29)</f>
        <v>3003478.0999999996</v>
      </c>
      <c r="O30" s="62">
        <f t="shared" si="20"/>
        <v>3490884.67</v>
      </c>
      <c r="P30" s="62">
        <f t="shared" si="20"/>
        <v>169106</v>
      </c>
      <c r="Q30" s="62">
        <f t="shared" si="20"/>
        <v>6663468.7700000005</v>
      </c>
    </row>
    <row r="31" spans="1:26" ht="15" customHeight="1" thickTop="1" x14ac:dyDescent="0.2">
      <c r="C31" s="63"/>
    </row>
    <row r="32" spans="1:26" ht="15" customHeight="1" x14ac:dyDescent="0.2">
      <c r="C32" s="63"/>
      <c r="D32" s="63"/>
    </row>
    <row r="33" spans="1:4" ht="15" customHeight="1" x14ac:dyDescent="0.2">
      <c r="C33" s="63"/>
      <c r="D33" s="63"/>
    </row>
    <row r="34" spans="1:4" ht="14.25" customHeight="1" x14ac:dyDescent="0.2"/>
    <row r="35" spans="1:4" s="48" customFormat="1" ht="15" x14ac:dyDescent="0.2">
      <c r="A35" s="159" t="s">
        <v>1049</v>
      </c>
      <c r="D35" s="160">
        <v>8188788</v>
      </c>
    </row>
  </sheetData>
  <mergeCells count="1">
    <mergeCell ref="T4:U4"/>
  </mergeCells>
  <pageMargins left="0" right="0" top="0.51181102362204722" bottom="0.59055118110236227" header="0.51181102362204722" footer="0.51181102362204722"/>
  <pageSetup paperSize="9" scale="75" orientation="landscape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"/>
  <sheetViews>
    <sheetView view="pageBreakPreview" zoomScale="60" zoomScaleNormal="100" workbookViewId="0">
      <selection activeCell="W39" sqref="W39"/>
    </sheetView>
  </sheetViews>
  <sheetFormatPr defaultRowHeight="15" x14ac:dyDescent="0.2"/>
  <cols>
    <col min="1" max="1" width="5.77734375" customWidth="1"/>
    <col min="2" max="2" width="10.77734375" customWidth="1"/>
    <col min="3" max="4" width="12.77734375" customWidth="1"/>
    <col min="5" max="5" width="9.21875" customWidth="1"/>
    <col min="6" max="6" width="3.6640625" customWidth="1"/>
    <col min="7" max="8" width="12.77734375" customWidth="1"/>
    <col min="9" max="9" width="9.21875" customWidth="1"/>
    <col min="10" max="10" width="1.77734375" customWidth="1"/>
    <col min="11" max="12" width="12.44140625" bestFit="1" customWidth="1"/>
  </cols>
  <sheetData>
    <row r="1" spans="1:9" ht="15.75" x14ac:dyDescent="0.25">
      <c r="A1" s="92" t="s">
        <v>1013</v>
      </c>
      <c r="B1" s="93"/>
      <c r="C1" s="93"/>
      <c r="D1" s="93"/>
      <c r="E1" s="93"/>
      <c r="F1" s="93"/>
      <c r="G1" s="93"/>
      <c r="H1" s="93"/>
      <c r="I1" s="93"/>
    </row>
    <row r="2" spans="1:9" ht="15.75" x14ac:dyDescent="0.25">
      <c r="A2" s="92" t="s">
        <v>1134</v>
      </c>
      <c r="B2" s="93"/>
      <c r="C2" s="93"/>
      <c r="D2" s="93"/>
      <c r="E2" s="93"/>
      <c r="F2" s="93"/>
      <c r="G2" s="93"/>
      <c r="H2" s="93"/>
      <c r="I2" s="93"/>
    </row>
    <row r="3" spans="1:9" x14ac:dyDescent="0.2">
      <c r="A3" s="94"/>
      <c r="B3" s="94"/>
      <c r="C3" s="94"/>
      <c r="D3" s="94"/>
      <c r="E3" s="94"/>
      <c r="F3" s="94"/>
      <c r="G3" s="94"/>
      <c r="H3" s="94"/>
      <c r="I3" s="94"/>
    </row>
    <row r="4" spans="1:9" ht="15.75" x14ac:dyDescent="0.2">
      <c r="A4" s="95"/>
      <c r="B4" s="96"/>
      <c r="C4" s="97" t="s">
        <v>1014</v>
      </c>
      <c r="D4" s="97" t="s">
        <v>855</v>
      </c>
      <c r="E4" s="98" t="s">
        <v>861</v>
      </c>
      <c r="F4" s="99"/>
      <c r="G4" s="100" t="s">
        <v>1015</v>
      </c>
      <c r="H4" s="99" t="s">
        <v>855</v>
      </c>
      <c r="I4" s="101" t="s">
        <v>861</v>
      </c>
    </row>
    <row r="5" spans="1:9" ht="15.75" x14ac:dyDescent="0.2">
      <c r="A5" s="95"/>
      <c r="B5" s="96"/>
      <c r="C5" s="98" t="s">
        <v>1045</v>
      </c>
      <c r="D5" s="97" t="s">
        <v>1016</v>
      </c>
      <c r="E5" s="98" t="s">
        <v>1017</v>
      </c>
      <c r="F5" s="102"/>
      <c r="G5" s="99" t="s">
        <v>1033</v>
      </c>
      <c r="H5" s="99" t="s">
        <v>1016</v>
      </c>
      <c r="I5" s="101" t="s">
        <v>1017</v>
      </c>
    </row>
    <row r="8" spans="1:9" ht="15.75" x14ac:dyDescent="0.25">
      <c r="A8" s="95" t="s">
        <v>1018</v>
      </c>
      <c r="B8" s="96"/>
      <c r="C8" s="96"/>
      <c r="D8" s="90"/>
      <c r="E8" s="90"/>
      <c r="F8" s="90"/>
      <c r="G8" s="90"/>
      <c r="H8" s="90"/>
      <c r="I8" s="90"/>
    </row>
    <row r="10" spans="1:9" ht="15.75" x14ac:dyDescent="0.25">
      <c r="A10" s="95" t="s">
        <v>1019</v>
      </c>
      <c r="B10" s="96"/>
      <c r="C10" s="103">
        <f>'2022 by benefice'!C13</f>
        <v>481880</v>
      </c>
      <c r="D10" s="103">
        <f>'2022 by benefice'!E13</f>
        <v>87751</v>
      </c>
      <c r="E10" s="128">
        <f>'2022 by benefice'!F13</f>
        <v>0.81789999999999996</v>
      </c>
      <c r="F10" s="103"/>
      <c r="G10" s="104">
        <f>'2022 by benefice'!H13</f>
        <v>481879</v>
      </c>
      <c r="H10" s="104">
        <f>'2022 by benefice'!J13</f>
        <v>122437</v>
      </c>
      <c r="I10" s="129">
        <f>'2022 by benefice'!K13</f>
        <v>0.74590000000000001</v>
      </c>
    </row>
    <row r="11" spans="1:9" ht="15.75" x14ac:dyDescent="0.25">
      <c r="A11" s="95" t="s">
        <v>1020</v>
      </c>
      <c r="B11" s="96"/>
      <c r="C11" s="103">
        <f>'2022 by benefice'!C26</f>
        <v>524093</v>
      </c>
      <c r="D11" s="103">
        <f>'2022 by benefice'!E26</f>
        <v>109008</v>
      </c>
      <c r="E11" s="128">
        <f>'2022 by benefice'!F26</f>
        <v>0.79200000000000004</v>
      </c>
      <c r="F11" s="103"/>
      <c r="G11" s="104">
        <f>'2022 by benefice'!H26</f>
        <v>524092</v>
      </c>
      <c r="H11" s="104">
        <f>'2022 by benefice'!J26</f>
        <v>129098</v>
      </c>
      <c r="I11" s="129">
        <f>'2022 by benefice'!K26</f>
        <v>0.75370000000000004</v>
      </c>
    </row>
    <row r="12" spans="1:9" ht="15.75" x14ac:dyDescent="0.25">
      <c r="A12" s="95" t="s">
        <v>1021</v>
      </c>
      <c r="B12" s="96"/>
      <c r="C12" s="103">
        <f>'2022 by benefice'!C38</f>
        <v>432076</v>
      </c>
      <c r="D12" s="103">
        <f>'2022 by benefice'!E38</f>
        <v>76880</v>
      </c>
      <c r="E12" s="128">
        <f>'2022 by benefice'!F38</f>
        <v>0.82210000000000005</v>
      </c>
      <c r="F12" s="103"/>
      <c r="G12" s="104">
        <f>'2022 by benefice'!H38</f>
        <v>432074</v>
      </c>
      <c r="H12" s="104">
        <f>'2022 by benefice'!J38</f>
        <v>101337</v>
      </c>
      <c r="I12" s="129">
        <f>'2022 by benefice'!K38</f>
        <v>0.76549999999999996</v>
      </c>
    </row>
    <row r="13" spans="1:9" ht="15.75" x14ac:dyDescent="0.25">
      <c r="A13" s="95" t="s">
        <v>1022</v>
      </c>
      <c r="B13" s="96"/>
      <c r="C13" s="103">
        <f>'2022 by benefice'!C63</f>
        <v>1497847</v>
      </c>
      <c r="D13" s="103">
        <f>'2022 by benefice'!E63</f>
        <v>452066</v>
      </c>
      <c r="E13" s="128">
        <f>'2022 by benefice'!F63</f>
        <v>0.69820000000000004</v>
      </c>
      <c r="F13" s="103"/>
      <c r="G13" s="104">
        <f>'2022 by benefice'!H63</f>
        <v>1509284</v>
      </c>
      <c r="H13" s="104">
        <f>'2022 by benefice'!J63</f>
        <v>414209</v>
      </c>
      <c r="I13" s="129">
        <f>'2022 by benefice'!K63</f>
        <v>0.72560000000000002</v>
      </c>
    </row>
    <row r="14" spans="1:9" ht="15.75" x14ac:dyDescent="0.25">
      <c r="A14" s="95" t="s">
        <v>1023</v>
      </c>
      <c r="B14" s="96"/>
      <c r="C14" s="103">
        <f>'2022 by benefice'!C76</f>
        <v>591370</v>
      </c>
      <c r="D14" s="103">
        <f>'2022 by benefice'!E76</f>
        <v>140168</v>
      </c>
      <c r="E14" s="128">
        <f>'2022 by benefice'!F76</f>
        <v>0.76300000000000001</v>
      </c>
      <c r="F14" s="103"/>
      <c r="G14" s="104">
        <f>'2022 by benefice'!H76</f>
        <v>591261</v>
      </c>
      <c r="H14" s="104">
        <f>'2022 by benefice'!J76</f>
        <v>144232</v>
      </c>
      <c r="I14" s="129">
        <f>'2022 by benefice'!K76</f>
        <v>0.75609999999999999</v>
      </c>
    </row>
    <row r="15" spans="1:9" ht="15.75" x14ac:dyDescent="0.25">
      <c r="A15" s="95" t="s">
        <v>1024</v>
      </c>
      <c r="B15" s="96"/>
      <c r="C15" s="103">
        <f>'2022 by benefice'!C93</f>
        <v>773493</v>
      </c>
      <c r="D15" s="103">
        <f>'2022 by benefice'!E93</f>
        <v>181323</v>
      </c>
      <c r="E15" s="128">
        <f>'2022 by benefice'!F93</f>
        <v>0.76559999999999995</v>
      </c>
      <c r="F15" s="103"/>
      <c r="G15" s="104">
        <f>'2022 by benefice'!H93</f>
        <v>773488</v>
      </c>
      <c r="H15" s="104">
        <f>'2022 by benefice'!J93</f>
        <v>196004</v>
      </c>
      <c r="I15" s="129">
        <f>'2022 by benefice'!K93</f>
        <v>0.74660000000000004</v>
      </c>
    </row>
    <row r="16" spans="1:9" ht="15.75" x14ac:dyDescent="0.2">
      <c r="A16" s="95"/>
      <c r="B16" s="96"/>
    </row>
    <row r="17" spans="1:9" ht="15.75" x14ac:dyDescent="0.25">
      <c r="A17" s="111"/>
      <c r="B17" s="112"/>
      <c r="C17" s="103">
        <f>'2022 by benefice'!C98</f>
        <v>4300759</v>
      </c>
      <c r="D17" s="103">
        <f>'2022 by benefice'!E98</f>
        <v>1047196</v>
      </c>
      <c r="E17" s="128">
        <f>'2022 by benefice'!F98</f>
        <v>0.75649999999999995</v>
      </c>
      <c r="F17" s="103"/>
      <c r="G17" s="104">
        <f>'2022 by benefice'!H98</f>
        <v>4312078</v>
      </c>
      <c r="H17" s="104">
        <f>'2022 by benefice'!J98</f>
        <v>1107317</v>
      </c>
      <c r="I17" s="129">
        <f>'2022 by benefice'!K98</f>
        <v>0.74319999999999997</v>
      </c>
    </row>
    <row r="18" spans="1:9" ht="15.75" x14ac:dyDescent="0.25">
      <c r="A18" s="95"/>
      <c r="B18" s="96"/>
      <c r="C18" s="111"/>
      <c r="D18" s="107"/>
      <c r="E18" s="108"/>
      <c r="F18" s="90"/>
      <c r="G18" s="109"/>
      <c r="H18" s="106"/>
      <c r="I18" s="110"/>
    </row>
    <row r="19" spans="1:9" ht="15.75" x14ac:dyDescent="0.25">
      <c r="A19" s="95"/>
      <c r="B19" s="96"/>
      <c r="C19" s="111"/>
      <c r="D19" s="107"/>
      <c r="E19" s="108"/>
      <c r="F19" s="134"/>
      <c r="G19" s="109"/>
      <c r="H19" s="106"/>
      <c r="I19" s="110"/>
    </row>
    <row r="20" spans="1:9" ht="15.75" x14ac:dyDescent="0.25">
      <c r="A20" s="95" t="s">
        <v>1025</v>
      </c>
      <c r="B20" s="96"/>
      <c r="C20" s="111"/>
      <c r="D20" s="107"/>
      <c r="E20" s="108"/>
      <c r="F20" s="90"/>
      <c r="G20" s="109"/>
      <c r="H20" s="106"/>
      <c r="I20" s="110"/>
    </row>
    <row r="21" spans="1:9" ht="15.75" x14ac:dyDescent="0.25">
      <c r="A21" s="95"/>
      <c r="B21" s="96"/>
      <c r="C21" s="111"/>
      <c r="D21" s="107"/>
      <c r="E21" s="108"/>
      <c r="F21" s="90"/>
      <c r="G21" s="109"/>
      <c r="H21" s="106"/>
      <c r="I21" s="110"/>
    </row>
    <row r="22" spans="1:9" ht="15.75" x14ac:dyDescent="0.25">
      <c r="A22" s="95" t="s">
        <v>1026</v>
      </c>
      <c r="B22" s="96"/>
      <c r="C22" s="103">
        <f>'2022 by benefice'!C118</f>
        <v>891905</v>
      </c>
      <c r="D22" s="103">
        <f>'2022 by benefice'!E118</f>
        <v>150986</v>
      </c>
      <c r="E22" s="128">
        <f>'2022 by benefice'!F118</f>
        <v>0.83069999999999999</v>
      </c>
      <c r="F22" s="103"/>
      <c r="G22" s="104">
        <f>'2022 by benefice'!H118</f>
        <v>891905</v>
      </c>
      <c r="H22" s="104">
        <f>'2022 by benefice'!J118</f>
        <v>111933</v>
      </c>
      <c r="I22" s="129">
        <f>'2022 by benefice'!K118</f>
        <v>0.87450000000000006</v>
      </c>
    </row>
    <row r="23" spans="1:9" ht="15.75" x14ac:dyDescent="0.25">
      <c r="A23" s="95" t="s">
        <v>1027</v>
      </c>
      <c r="B23" s="96"/>
      <c r="C23" s="103">
        <f>'2022 by benefice'!C129</f>
        <v>518533</v>
      </c>
      <c r="D23" s="103">
        <f>'2022 by benefice'!E129</f>
        <v>100001</v>
      </c>
      <c r="E23" s="128">
        <f>'2022 by benefice'!F129</f>
        <v>0.80710000000000004</v>
      </c>
      <c r="F23" s="103"/>
      <c r="G23" s="104">
        <f>'2022 by benefice'!H129</f>
        <v>518541</v>
      </c>
      <c r="H23" s="104">
        <f>'2022 by benefice'!J129</f>
        <v>69165</v>
      </c>
      <c r="I23" s="129">
        <f>'2022 by benefice'!K129</f>
        <v>0.86660000000000004</v>
      </c>
    </row>
    <row r="24" spans="1:9" ht="15.75" x14ac:dyDescent="0.25">
      <c r="A24" s="95" t="s">
        <v>1028</v>
      </c>
      <c r="B24" s="96"/>
      <c r="C24" s="103">
        <f>'2022 by benefice'!C139</f>
        <v>316156</v>
      </c>
      <c r="D24" s="103">
        <f>'2022 by benefice'!E139</f>
        <v>57076</v>
      </c>
      <c r="E24" s="128">
        <f>'2022 by benefice'!F139</f>
        <v>0.81950000000000001</v>
      </c>
      <c r="F24" s="103"/>
      <c r="G24" s="104">
        <f>'2022 by benefice'!H139</f>
        <v>316155</v>
      </c>
      <c r="H24" s="104">
        <f>'2022 by benefice'!J139</f>
        <v>54511</v>
      </c>
      <c r="I24" s="129">
        <f>'2022 by benefice'!K139</f>
        <v>0.8276</v>
      </c>
    </row>
    <row r="25" spans="1:9" ht="15.75" x14ac:dyDescent="0.25">
      <c r="A25" s="95" t="s">
        <v>974</v>
      </c>
      <c r="B25" s="96"/>
      <c r="C25" s="103">
        <f>'2022 by benefice'!C150</f>
        <v>538615</v>
      </c>
      <c r="D25" s="103">
        <f>'2022 by benefice'!E150</f>
        <v>88551</v>
      </c>
      <c r="E25" s="128">
        <f>'2022 by benefice'!F150</f>
        <v>0.83560000000000001</v>
      </c>
      <c r="F25" s="103"/>
      <c r="G25" s="104">
        <f>'2022 by benefice'!H150</f>
        <v>538613</v>
      </c>
      <c r="H25" s="104">
        <f>'2022 by benefice'!J150</f>
        <v>79919</v>
      </c>
      <c r="I25" s="129">
        <f>'2022 by benefice'!K150</f>
        <v>0.85160000000000002</v>
      </c>
    </row>
    <row r="26" spans="1:9" ht="15.75" x14ac:dyDescent="0.25">
      <c r="A26" s="95" t="s">
        <v>1029</v>
      </c>
      <c r="B26" s="96"/>
      <c r="C26" s="103">
        <f>'2022 by benefice'!C163</f>
        <v>617639</v>
      </c>
      <c r="D26" s="103">
        <f>'2022 by benefice'!E163</f>
        <v>25410</v>
      </c>
      <c r="E26" s="128">
        <f>'2022 by benefice'!F163</f>
        <v>0.95889999999999997</v>
      </c>
      <c r="F26" s="103"/>
      <c r="G26" s="104">
        <f>'2022 by benefice'!H163</f>
        <v>623163</v>
      </c>
      <c r="H26" s="104">
        <f>'2022 by benefice'!J163</f>
        <v>22459</v>
      </c>
      <c r="I26" s="129">
        <f>'2022 by benefice'!K163</f>
        <v>0.96399999999999997</v>
      </c>
    </row>
    <row r="27" spans="1:9" ht="15.75" x14ac:dyDescent="0.25">
      <c r="A27" s="95" t="s">
        <v>1030</v>
      </c>
      <c r="B27" s="96"/>
      <c r="C27" s="103">
        <f>'2022 by benefice'!C182</f>
        <v>932405</v>
      </c>
      <c r="D27" s="103">
        <f>'2022 by benefice'!E182</f>
        <v>87513</v>
      </c>
      <c r="E27" s="128">
        <f>'2022 by benefice'!F182</f>
        <v>0.90610000000000002</v>
      </c>
      <c r="F27" s="103"/>
      <c r="G27" s="104">
        <f>'2022 by benefice'!H182</f>
        <v>932398</v>
      </c>
      <c r="H27" s="104">
        <f>'2022 by benefice'!J182</f>
        <v>99555</v>
      </c>
      <c r="I27" s="129">
        <f>'2022 by benefice'!K182</f>
        <v>0.89319999999999999</v>
      </c>
    </row>
    <row r="28" spans="1:9" ht="15.75" x14ac:dyDescent="0.2">
      <c r="A28" s="95"/>
      <c r="B28" s="96"/>
    </row>
    <row r="29" spans="1:9" ht="15.75" x14ac:dyDescent="0.25">
      <c r="A29" s="111"/>
      <c r="B29" s="112"/>
      <c r="C29" s="103">
        <f>'2022 by benefice'!C186</f>
        <v>3815253</v>
      </c>
      <c r="D29" s="103">
        <f>'2022 by benefice'!E186</f>
        <v>509537</v>
      </c>
      <c r="E29" s="128">
        <f>'2022 by benefice'!F186</f>
        <v>0.86639999999999995</v>
      </c>
      <c r="F29" s="103"/>
      <c r="G29" s="104">
        <f>'2022 by benefice'!H186</f>
        <v>3820775</v>
      </c>
      <c r="H29" s="104">
        <f>'2022 by benefice'!J186</f>
        <v>437542</v>
      </c>
      <c r="I29" s="129">
        <f>'2022 by benefice'!K186</f>
        <v>0.88549999999999995</v>
      </c>
    </row>
    <row r="30" spans="1:9" ht="15.75" x14ac:dyDescent="0.2">
      <c r="A30" s="95"/>
      <c r="B30" s="96"/>
    </row>
    <row r="31" spans="1:9" ht="15.75" x14ac:dyDescent="0.2">
      <c r="A31" s="95"/>
      <c r="B31" s="96"/>
    </row>
    <row r="32" spans="1:9" ht="15.75" x14ac:dyDescent="0.25">
      <c r="A32" s="95" t="s">
        <v>1031</v>
      </c>
      <c r="B32" s="96"/>
      <c r="C32" s="103">
        <f>'2022 by benefice'!C189</f>
        <v>8116012</v>
      </c>
      <c r="D32" s="103">
        <f>'2022 by benefice'!E189</f>
        <v>1556733</v>
      </c>
      <c r="E32" s="128">
        <f>'2022 by benefice'!F189</f>
        <v>0.80820000000000003</v>
      </c>
      <c r="F32" s="103"/>
      <c r="G32" s="104">
        <f>'2022 by benefice'!H189</f>
        <v>8132853</v>
      </c>
      <c r="H32" s="104">
        <f>'2022 by benefice'!J189</f>
        <v>1544859</v>
      </c>
      <c r="I32" s="129">
        <f>'2022 by benefice'!K189</f>
        <v>0.81</v>
      </c>
    </row>
    <row r="33" spans="1:24" ht="15.75" x14ac:dyDescent="0.25">
      <c r="A33" s="95"/>
      <c r="B33" s="96"/>
      <c r="C33" s="114"/>
      <c r="D33" s="90"/>
      <c r="E33" s="90"/>
      <c r="F33" s="90"/>
      <c r="G33" s="90"/>
      <c r="H33" s="90"/>
      <c r="I33" s="90"/>
    </row>
    <row r="34" spans="1:24" ht="15.75" x14ac:dyDescent="0.25">
      <c r="A34" s="95"/>
      <c r="B34" s="96"/>
      <c r="C34" s="114"/>
      <c r="D34" s="90"/>
      <c r="E34" s="90"/>
      <c r="F34" s="90"/>
      <c r="G34" s="90"/>
      <c r="H34" s="134"/>
      <c r="I34" s="90"/>
    </row>
    <row r="35" spans="1:24" ht="15.75" x14ac:dyDescent="0.25">
      <c r="A35" s="95"/>
      <c r="B35" s="96"/>
      <c r="C35" s="114"/>
      <c r="D35" s="90"/>
      <c r="E35" s="90"/>
      <c r="F35" s="90"/>
      <c r="G35" s="90"/>
      <c r="H35" s="90"/>
      <c r="I35" s="90"/>
    </row>
    <row r="36" spans="1:24" ht="15.75" x14ac:dyDescent="0.25">
      <c r="A36" s="95"/>
      <c r="B36" s="96"/>
      <c r="C36" s="114"/>
      <c r="D36" s="90"/>
      <c r="E36" s="90"/>
      <c r="F36" s="90"/>
      <c r="G36" s="90"/>
      <c r="H36" s="90"/>
      <c r="I36" s="90"/>
    </row>
    <row r="37" spans="1:24" ht="15.75" x14ac:dyDescent="0.25">
      <c r="A37" s="239" t="s">
        <v>1032</v>
      </c>
      <c r="B37" s="240"/>
      <c r="C37" s="241"/>
      <c r="D37" s="242"/>
      <c r="E37" s="242"/>
      <c r="F37" s="242"/>
      <c r="G37" s="242"/>
      <c r="H37" s="242"/>
      <c r="I37" s="90"/>
    </row>
    <row r="38" spans="1:24" x14ac:dyDescent="0.2">
      <c r="A38" s="6"/>
      <c r="B38" s="6"/>
      <c r="C38" s="6"/>
      <c r="D38" s="6"/>
      <c r="E38" s="6"/>
      <c r="F38" s="6"/>
      <c r="G38" s="6"/>
      <c r="H38" s="6"/>
    </row>
    <row r="39" spans="1:24" x14ac:dyDescent="0.2">
      <c r="A39" s="243">
        <v>1</v>
      </c>
      <c r="B39" s="244" t="s">
        <v>1127</v>
      </c>
      <c r="C39" s="245"/>
      <c r="D39" s="246"/>
      <c r="E39" s="246"/>
      <c r="F39" s="246"/>
      <c r="G39" s="246"/>
      <c r="H39" s="246"/>
      <c r="I39" s="115"/>
      <c r="J39" s="116"/>
      <c r="M39" s="116"/>
      <c r="N39" s="116"/>
      <c r="O39" s="117"/>
      <c r="P39" s="116"/>
      <c r="Q39" s="116"/>
      <c r="R39" s="117"/>
      <c r="S39" s="118"/>
      <c r="T39" s="119"/>
      <c r="U39" s="120"/>
      <c r="V39" s="121"/>
      <c r="W39" s="121"/>
      <c r="X39" s="121"/>
    </row>
    <row r="40" spans="1:24" x14ac:dyDescent="0.2">
      <c r="A40" s="247"/>
      <c r="B40" s="244"/>
      <c r="C40" s="245"/>
      <c r="D40" s="246"/>
      <c r="E40" s="246"/>
      <c r="F40" s="246"/>
      <c r="G40" s="246"/>
      <c r="H40" s="246"/>
      <c r="I40" s="115"/>
      <c r="J40" s="116"/>
      <c r="M40" s="116"/>
      <c r="N40" s="116"/>
      <c r="O40" s="117"/>
      <c r="P40" s="116"/>
      <c r="Q40" s="116"/>
      <c r="R40" s="117"/>
      <c r="S40" s="118"/>
      <c r="T40" s="119"/>
      <c r="U40" s="120"/>
      <c r="V40" s="121"/>
      <c r="W40" s="121"/>
      <c r="X40" s="121"/>
    </row>
    <row r="41" spans="1:24" x14ac:dyDescent="0.2">
      <c r="A41" s="243">
        <v>2</v>
      </c>
      <c r="B41" s="244" t="s">
        <v>1132</v>
      </c>
      <c r="C41" s="245"/>
      <c r="D41" s="246"/>
      <c r="E41" s="246"/>
      <c r="F41" s="246"/>
      <c r="G41" s="246"/>
      <c r="H41" s="246"/>
      <c r="I41" s="115"/>
      <c r="J41" s="116"/>
      <c r="K41" s="117"/>
      <c r="L41" s="116"/>
      <c r="M41" s="116"/>
      <c r="N41" s="116"/>
      <c r="O41" s="117"/>
      <c r="P41" s="116"/>
      <c r="Q41" s="116"/>
      <c r="R41" s="117"/>
      <c r="S41" s="118"/>
      <c r="T41" s="119"/>
      <c r="U41" s="120"/>
      <c r="V41" s="121"/>
      <c r="W41" s="121"/>
      <c r="X41" s="121"/>
    </row>
    <row r="42" spans="1:24" x14ac:dyDescent="0.2">
      <c r="A42" s="247"/>
      <c r="B42" s="244"/>
      <c r="C42" s="245"/>
      <c r="D42" s="246"/>
      <c r="E42" s="246"/>
      <c r="F42" s="246"/>
      <c r="G42" s="246"/>
      <c r="H42" s="246"/>
      <c r="I42" s="115"/>
      <c r="J42" s="116"/>
      <c r="K42" s="117"/>
      <c r="L42" s="116"/>
      <c r="M42" s="116"/>
      <c r="N42" s="116"/>
      <c r="O42" s="117"/>
      <c r="P42" s="116"/>
      <c r="Q42" s="116"/>
      <c r="R42" s="117"/>
      <c r="S42" s="118"/>
      <c r="T42" s="119"/>
      <c r="U42" s="120"/>
      <c r="V42" s="121"/>
      <c r="W42" s="121"/>
      <c r="X42" s="121"/>
    </row>
    <row r="43" spans="1:24" x14ac:dyDescent="0.2">
      <c r="A43" s="243">
        <v>3</v>
      </c>
      <c r="B43" s="244" t="s">
        <v>1133</v>
      </c>
      <c r="C43" s="245"/>
      <c r="D43" s="246"/>
      <c r="E43" s="246"/>
      <c r="F43" s="246"/>
      <c r="G43" s="246"/>
      <c r="H43" s="246"/>
      <c r="I43" s="115"/>
      <c r="J43" s="116"/>
      <c r="K43" s="117"/>
      <c r="L43" s="116"/>
      <c r="M43" s="116"/>
      <c r="N43" s="116"/>
      <c r="O43" s="117"/>
      <c r="P43" s="116"/>
      <c r="Q43" s="116"/>
      <c r="R43" s="117"/>
      <c r="S43" s="118"/>
      <c r="T43" s="119"/>
      <c r="U43" s="120"/>
      <c r="V43" s="121"/>
      <c r="W43" s="121"/>
      <c r="X43" s="121"/>
    </row>
    <row r="44" spans="1:24" x14ac:dyDescent="0.2">
      <c r="A44" s="243"/>
      <c r="B44" s="244"/>
      <c r="C44" s="245"/>
      <c r="D44" s="246"/>
      <c r="E44" s="246"/>
      <c r="F44" s="246"/>
      <c r="G44" s="246"/>
      <c r="H44" s="246"/>
      <c r="I44" s="115"/>
      <c r="J44" s="116"/>
      <c r="K44" s="116"/>
      <c r="L44" s="116"/>
      <c r="M44" s="116"/>
      <c r="N44" s="116"/>
      <c r="O44" s="117"/>
      <c r="P44" s="116"/>
      <c r="Q44" s="116"/>
      <c r="R44" s="117"/>
      <c r="S44" s="118"/>
      <c r="T44" s="119"/>
      <c r="U44" s="120"/>
      <c r="V44" s="121"/>
      <c r="W44" s="121"/>
      <c r="X44" s="121"/>
    </row>
    <row r="45" spans="1:24" x14ac:dyDescent="0.2">
      <c r="A45" s="243">
        <v>4</v>
      </c>
      <c r="B45" s="244" t="s">
        <v>1135</v>
      </c>
      <c r="C45" s="244"/>
      <c r="D45" s="246"/>
      <c r="E45" s="246"/>
      <c r="F45" s="246"/>
      <c r="G45" s="246"/>
      <c r="H45" s="246"/>
      <c r="I45" s="115"/>
      <c r="J45" s="116"/>
      <c r="K45" s="116"/>
      <c r="L45" s="116"/>
      <c r="M45" s="116"/>
      <c r="N45" s="116"/>
      <c r="O45" s="117"/>
      <c r="P45" s="116"/>
      <c r="Q45" s="116"/>
      <c r="R45" s="117"/>
      <c r="S45" s="118"/>
      <c r="T45" s="119"/>
      <c r="U45" s="120"/>
      <c r="V45" s="121"/>
      <c r="W45" s="121"/>
      <c r="X45" s="121"/>
    </row>
    <row r="46" spans="1:24" x14ac:dyDescent="0.2">
      <c r="A46" s="244"/>
      <c r="B46" s="244"/>
      <c r="C46" s="245"/>
      <c r="D46" s="246"/>
      <c r="E46" s="246"/>
      <c r="F46" s="246"/>
      <c r="G46" s="246"/>
      <c r="H46" s="246"/>
      <c r="I46" s="115"/>
      <c r="J46" s="116"/>
      <c r="K46" s="116"/>
      <c r="L46" s="116"/>
      <c r="M46" s="117"/>
      <c r="N46" s="116"/>
      <c r="O46" s="117"/>
      <c r="P46" s="116"/>
      <c r="Q46" s="116"/>
      <c r="R46" s="117"/>
      <c r="S46" s="118"/>
      <c r="T46" s="119"/>
      <c r="U46" s="120"/>
      <c r="V46" s="121"/>
      <c r="W46" s="121"/>
      <c r="X46" s="121"/>
    </row>
    <row r="47" spans="1:24" x14ac:dyDescent="0.2">
      <c r="A47" s="244"/>
      <c r="B47" s="244"/>
      <c r="C47" s="245"/>
      <c r="D47" s="246"/>
      <c r="E47" s="246"/>
      <c r="F47" s="246"/>
      <c r="G47" s="246"/>
      <c r="H47" s="246"/>
      <c r="I47" s="115"/>
      <c r="J47" s="116"/>
      <c r="K47" s="116"/>
      <c r="L47" s="116"/>
      <c r="M47" s="116"/>
      <c r="N47" s="116"/>
      <c r="O47" s="117"/>
      <c r="P47" s="116"/>
      <c r="Q47" s="116"/>
      <c r="R47" s="117"/>
      <c r="S47" s="118"/>
      <c r="T47" s="119"/>
      <c r="U47" s="120"/>
      <c r="V47" s="121"/>
      <c r="W47" s="121"/>
      <c r="X47" s="121"/>
    </row>
    <row r="48" spans="1:24" ht="15.75" x14ac:dyDescent="0.2">
      <c r="A48" s="244"/>
      <c r="B48" s="244"/>
      <c r="C48" s="248"/>
      <c r="D48" s="246"/>
      <c r="E48" s="246"/>
      <c r="F48" s="246"/>
      <c r="G48" s="246"/>
      <c r="H48" s="246"/>
      <c r="I48" s="115"/>
      <c r="J48" s="116"/>
      <c r="K48" s="117"/>
      <c r="L48" s="116"/>
      <c r="M48" s="116"/>
      <c r="N48" s="116"/>
      <c r="O48" s="117"/>
      <c r="P48" s="116"/>
      <c r="Q48" s="116"/>
      <c r="R48" s="117"/>
      <c r="S48" s="118"/>
      <c r="T48" s="119"/>
      <c r="U48" s="120"/>
      <c r="V48" s="121"/>
      <c r="W48" s="121"/>
      <c r="X48" s="121"/>
    </row>
    <row r="58" spans="2:9" ht="15.75" x14ac:dyDescent="0.25">
      <c r="B58" s="96"/>
      <c r="C58" s="103"/>
      <c r="D58" s="122"/>
      <c r="E58" s="113"/>
      <c r="F58" s="90"/>
      <c r="G58" s="105"/>
      <c r="H58" s="106"/>
      <c r="I58" s="110"/>
    </row>
    <row r="146" spans="3:3" x14ac:dyDescent="0.2">
      <c r="C146" s="91"/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Normal="100" workbookViewId="0">
      <selection activeCell="W39" sqref="W39"/>
    </sheetView>
  </sheetViews>
  <sheetFormatPr defaultColWidth="7.77734375" defaultRowHeight="14.25" x14ac:dyDescent="0.2"/>
  <cols>
    <col min="1" max="1" width="16.6640625" style="30" customWidth="1"/>
    <col min="2" max="2" width="0.88671875" style="25" customWidth="1"/>
    <col min="3" max="3" width="10.6640625" style="25" hidden="1" customWidth="1"/>
    <col min="4" max="4" width="0.88671875" style="25" customWidth="1"/>
    <col min="5" max="5" width="12.21875" style="25" hidden="1" customWidth="1"/>
    <col min="6" max="6" width="2.109375" style="25" hidden="1" customWidth="1"/>
    <col min="7" max="7" width="10.88671875" style="25" customWidth="1"/>
    <col min="8" max="8" width="0.88671875" style="25" customWidth="1"/>
    <col min="9" max="9" width="7.33203125" style="25" customWidth="1"/>
    <col min="10" max="10" width="5.6640625" style="25" customWidth="1"/>
    <col min="11" max="11" width="2.6640625" style="25" customWidth="1"/>
    <col min="12" max="12" width="9.88671875" style="25" customWidth="1"/>
    <col min="13" max="13" width="0.6640625" style="25" customWidth="1"/>
    <col min="14" max="14" width="7.77734375" style="25" customWidth="1"/>
    <col min="15" max="15" width="2.6640625" style="25" customWidth="1"/>
    <col min="16" max="19" width="7.77734375" style="25"/>
    <col min="20" max="21" width="12.33203125" style="25" bestFit="1" customWidth="1"/>
    <col min="22" max="16384" width="7.77734375" style="25"/>
  </cols>
  <sheetData>
    <row r="1" spans="1:18" ht="15" x14ac:dyDescent="0.25">
      <c r="A1" s="323" t="s">
        <v>1048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spans="1:18" ht="15" x14ac:dyDescent="0.25">
      <c r="A2" s="323" t="s">
        <v>1071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8" ht="15" x14ac:dyDescent="0.25">
      <c r="A3" s="26"/>
      <c r="B3" s="27"/>
      <c r="H3" s="28"/>
      <c r="N3" s="29"/>
    </row>
    <row r="4" spans="1:18" ht="15" x14ac:dyDescent="0.25">
      <c r="H4" s="28"/>
      <c r="K4" s="31"/>
      <c r="L4" s="32"/>
      <c r="M4" s="32"/>
      <c r="N4" s="33"/>
      <c r="O4" s="34"/>
      <c r="P4" s="35"/>
    </row>
    <row r="5" spans="1:18" ht="15" x14ac:dyDescent="0.25">
      <c r="A5" s="26" t="s">
        <v>854</v>
      </c>
      <c r="B5" s="36"/>
      <c r="C5" s="37" t="s">
        <v>855</v>
      </c>
      <c r="E5" s="37" t="s">
        <v>856</v>
      </c>
      <c r="G5" s="323" t="s">
        <v>1059</v>
      </c>
      <c r="H5" s="323"/>
      <c r="I5" s="323"/>
      <c r="J5" s="38"/>
      <c r="K5" s="39"/>
      <c r="L5" s="325" t="s">
        <v>1047</v>
      </c>
      <c r="M5" s="325"/>
      <c r="N5" s="325"/>
      <c r="O5" s="40"/>
      <c r="P5" s="41"/>
    </row>
    <row r="6" spans="1:18" ht="15" x14ac:dyDescent="0.25">
      <c r="C6" s="37" t="s">
        <v>857</v>
      </c>
      <c r="E6" s="42" t="s">
        <v>858</v>
      </c>
      <c r="G6" s="323" t="s">
        <v>859</v>
      </c>
      <c r="H6" s="323"/>
      <c r="I6" s="323"/>
      <c r="J6" s="27"/>
      <c r="K6" s="39"/>
      <c r="L6" s="325" t="s">
        <v>859</v>
      </c>
      <c r="M6" s="325"/>
      <c r="N6" s="325"/>
      <c r="O6" s="40"/>
      <c r="P6" s="35"/>
    </row>
    <row r="7" spans="1:18" ht="15" x14ac:dyDescent="0.25">
      <c r="C7" s="169"/>
      <c r="E7" s="42"/>
      <c r="G7" s="324" t="s">
        <v>1058</v>
      </c>
      <c r="H7" s="324"/>
      <c r="I7" s="324"/>
      <c r="J7" s="27"/>
      <c r="K7" s="39"/>
      <c r="L7" s="324" t="s">
        <v>1058</v>
      </c>
      <c r="M7" s="324"/>
      <c r="N7" s="324"/>
      <c r="O7" s="40"/>
      <c r="P7" s="35"/>
    </row>
    <row r="8" spans="1:18" ht="15" x14ac:dyDescent="0.25">
      <c r="A8" s="30" t="s">
        <v>860</v>
      </c>
      <c r="C8" s="29" t="s">
        <v>5</v>
      </c>
      <c r="E8" s="29" t="s">
        <v>5</v>
      </c>
      <c r="F8" s="29"/>
      <c r="G8" s="29" t="s">
        <v>5</v>
      </c>
      <c r="H8" s="29"/>
      <c r="I8" s="29" t="s">
        <v>861</v>
      </c>
      <c r="K8" s="43"/>
      <c r="L8" s="44" t="s">
        <v>5</v>
      </c>
      <c r="M8" s="35"/>
      <c r="N8" s="44" t="s">
        <v>861</v>
      </c>
      <c r="O8" s="40"/>
    </row>
    <row r="9" spans="1:18" ht="21.75" customHeight="1" x14ac:dyDescent="0.2">
      <c r="A9" s="76" t="s">
        <v>880</v>
      </c>
      <c r="C9" s="46">
        <f>'2021 Detail'!G39</f>
        <v>481879</v>
      </c>
      <c r="D9" s="46"/>
      <c r="E9" s="47">
        <f>C9-G9</f>
        <v>122436.92000000004</v>
      </c>
      <c r="F9" s="48"/>
      <c r="G9" s="46">
        <f>'2021 Detail'!H39</f>
        <v>359442.07999999996</v>
      </c>
      <c r="H9" s="48"/>
      <c r="I9" s="74">
        <f>'2021 Detail'!$I39</f>
        <v>0.74590000000000001</v>
      </c>
      <c r="J9" s="48"/>
      <c r="K9" s="50"/>
      <c r="L9" s="49">
        <f>ROUND(('2021 Detail'!H40),0)</f>
        <v>400584</v>
      </c>
      <c r="M9" s="48"/>
      <c r="N9" s="74">
        <f>'2021 Detail'!$I40</f>
        <v>0.76859999999999995</v>
      </c>
      <c r="O9" s="40"/>
      <c r="R9" s="25" t="s">
        <v>860</v>
      </c>
    </row>
    <row r="10" spans="1:18" ht="21.75" customHeight="1" x14ac:dyDescent="0.2">
      <c r="A10" s="76" t="s">
        <v>862</v>
      </c>
      <c r="C10" s="46">
        <f>'2021 Detail'!G81</f>
        <v>524092</v>
      </c>
      <c r="D10" s="46"/>
      <c r="E10" s="47">
        <f t="shared" ref="E10:E20" si="0">C10-G10</f>
        <v>129098.56999999995</v>
      </c>
      <c r="F10" s="48"/>
      <c r="G10" s="49">
        <f>'2021 Detail'!H81</f>
        <v>394993.43000000005</v>
      </c>
      <c r="H10" s="48"/>
      <c r="I10" s="74">
        <f>'2021 Detail'!$I81</f>
        <v>0.75370000000000004</v>
      </c>
      <c r="J10" s="48"/>
      <c r="K10" s="50"/>
      <c r="L10" s="49">
        <f>ROUND(('2021 Detail'!H82),0)</f>
        <v>444698</v>
      </c>
      <c r="M10" s="48"/>
      <c r="N10" s="74">
        <f>'2021 Detail'!$I82</f>
        <v>0.84850000000000003</v>
      </c>
      <c r="O10" s="40"/>
    </row>
    <row r="11" spans="1:18" ht="21.75" customHeight="1" x14ac:dyDescent="0.2">
      <c r="A11" s="76" t="s">
        <v>863</v>
      </c>
      <c r="B11" s="51"/>
      <c r="C11" s="46">
        <f>'2021 Detail'!G119</f>
        <v>432074</v>
      </c>
      <c r="D11" s="46"/>
      <c r="E11" s="47">
        <f t="shared" si="0"/>
        <v>101337.12</v>
      </c>
      <c r="F11" s="48"/>
      <c r="G11" s="49">
        <f>'2021 Detail'!H119</f>
        <v>330736.88</v>
      </c>
      <c r="H11" s="48"/>
      <c r="I11" s="74">
        <f>'2021 Detail'!$I119</f>
        <v>0.76549999999999996</v>
      </c>
      <c r="J11" s="48"/>
      <c r="K11" s="50"/>
      <c r="L11" s="49">
        <f>ROUND(('2021 Detail'!H120),0)</f>
        <v>355478</v>
      </c>
      <c r="M11" s="48"/>
      <c r="N11" s="74">
        <f>'2021 Detail'!$I120</f>
        <v>0.82289999999999996</v>
      </c>
      <c r="O11" s="40"/>
    </row>
    <row r="12" spans="1:18" ht="21.75" customHeight="1" x14ac:dyDescent="0.2">
      <c r="A12" s="76" t="s">
        <v>864</v>
      </c>
      <c r="B12" s="51"/>
      <c r="C12" s="46">
        <f>'2021 Detail'!G157</f>
        <v>1509284</v>
      </c>
      <c r="D12" s="46"/>
      <c r="E12" s="47">
        <f t="shared" si="0"/>
        <v>414208.95999999996</v>
      </c>
      <c r="F12" s="48"/>
      <c r="G12" s="49">
        <f>'2021 Detail'!H157</f>
        <v>1095075.04</v>
      </c>
      <c r="H12" s="48"/>
      <c r="I12" s="74">
        <f>'2021 Detail'!$I157</f>
        <v>0.72560000000000002</v>
      </c>
      <c r="J12" s="48"/>
      <c r="K12" s="50"/>
      <c r="L12" s="49">
        <f>ROUND(('2021 Detail'!H158),0)</f>
        <v>1137089</v>
      </c>
      <c r="M12" s="48"/>
      <c r="N12" s="74">
        <f>'2021 Detail'!$I158</f>
        <v>0.75339999999999996</v>
      </c>
      <c r="O12" s="40"/>
    </row>
    <row r="13" spans="1:18" ht="21.75" customHeight="1" x14ac:dyDescent="0.2">
      <c r="A13" s="76" t="s">
        <v>865</v>
      </c>
      <c r="B13" s="51"/>
      <c r="C13" s="46">
        <f>'2021 Detail'!G212</f>
        <v>591261</v>
      </c>
      <c r="D13" s="46"/>
      <c r="E13" s="47">
        <f t="shared" si="0"/>
        <v>144231.87</v>
      </c>
      <c r="F13" s="48"/>
      <c r="G13" s="49">
        <f>'2021 Detail'!H212</f>
        <v>447029.13</v>
      </c>
      <c r="H13" s="48"/>
      <c r="I13" s="74">
        <f>'2021 Detail'!$I212</f>
        <v>0.75609999999999999</v>
      </c>
      <c r="J13" s="48"/>
      <c r="K13" s="50"/>
      <c r="L13" s="49">
        <f>ROUND(('2021 Detail'!H213),0)</f>
        <v>456671</v>
      </c>
      <c r="M13" s="48"/>
      <c r="N13" s="74">
        <f>'2021 Detail'!$I213</f>
        <v>0.76049999999999995</v>
      </c>
      <c r="O13" s="40"/>
    </row>
    <row r="14" spans="1:18" ht="21.75" customHeight="1" x14ac:dyDescent="0.2">
      <c r="A14" s="76" t="s">
        <v>866</v>
      </c>
      <c r="B14" s="51"/>
      <c r="C14" s="46">
        <f>'2021 Detail'!G255</f>
        <v>773488</v>
      </c>
      <c r="D14" s="46"/>
      <c r="E14" s="47">
        <f t="shared" si="0"/>
        <v>196003.76</v>
      </c>
      <c r="F14" s="48"/>
      <c r="G14" s="49">
        <f>'2021 Detail'!H255</f>
        <v>577484.24</v>
      </c>
      <c r="H14" s="48"/>
      <c r="I14" s="74">
        <f>'2021 Detail'!$I255</f>
        <v>0.74660000000000004</v>
      </c>
      <c r="J14" s="48"/>
      <c r="K14" s="50"/>
      <c r="L14" s="49">
        <f>ROUND(('2021 Detail'!H256),0)</f>
        <v>557592</v>
      </c>
      <c r="M14" s="48"/>
      <c r="N14" s="74">
        <f>'2021 Detail'!$I256</f>
        <v>0.72089999999999999</v>
      </c>
      <c r="O14" s="40"/>
    </row>
    <row r="15" spans="1:18" ht="21.75" customHeight="1" x14ac:dyDescent="0.2">
      <c r="A15" s="76" t="s">
        <v>867</v>
      </c>
      <c r="B15" s="51"/>
      <c r="C15" s="46">
        <f>'2021 Detail'!G290</f>
        <v>891905</v>
      </c>
      <c r="D15" s="46"/>
      <c r="E15" s="47">
        <f t="shared" si="0"/>
        <v>111933.23999999999</v>
      </c>
      <c r="F15" s="48"/>
      <c r="G15" s="49">
        <f>'2021 Detail'!H290</f>
        <v>779971.76</v>
      </c>
      <c r="H15" s="48"/>
      <c r="I15" s="74">
        <f>'2021 Detail'!$I290</f>
        <v>0.87450000000000006</v>
      </c>
      <c r="J15" s="48"/>
      <c r="K15" s="50"/>
      <c r="L15" s="49">
        <f>ROUND(('2021 Detail'!H291),0)</f>
        <v>769499</v>
      </c>
      <c r="M15" s="48"/>
      <c r="N15" s="74">
        <f>'2021 Detail'!$I291</f>
        <v>0.86280000000000001</v>
      </c>
      <c r="O15" s="40"/>
    </row>
    <row r="16" spans="1:18" ht="21.75" customHeight="1" x14ac:dyDescent="0.2">
      <c r="A16" s="76" t="s">
        <v>868</v>
      </c>
      <c r="B16" s="51"/>
      <c r="C16" s="46">
        <f>'2021 Detail'!G316</f>
        <v>518541</v>
      </c>
      <c r="D16" s="46"/>
      <c r="E16" s="47">
        <f t="shared" si="0"/>
        <v>69165</v>
      </c>
      <c r="F16" s="48"/>
      <c r="G16" s="49">
        <f>'2021 Detail'!H316</f>
        <v>449376</v>
      </c>
      <c r="H16" s="48"/>
      <c r="I16" s="74">
        <f>'2021 Detail'!$I316</f>
        <v>0.86660000000000004</v>
      </c>
      <c r="J16" s="48"/>
      <c r="K16" s="50"/>
      <c r="L16" s="49">
        <f>ROUND(('2021 Detail'!H317),0)</f>
        <v>415966</v>
      </c>
      <c r="M16" s="48"/>
      <c r="N16" s="74">
        <f>'2021 Detail'!$I317</f>
        <v>0.80220000000000002</v>
      </c>
      <c r="O16" s="40"/>
    </row>
    <row r="17" spans="1:15" ht="21.75" customHeight="1" x14ac:dyDescent="0.2">
      <c r="A17" s="76" t="s">
        <v>869</v>
      </c>
      <c r="B17" s="51"/>
      <c r="C17" s="46">
        <f>'2021 Detail'!G345</f>
        <v>316155</v>
      </c>
      <c r="D17" s="46"/>
      <c r="E17" s="47">
        <f t="shared" si="0"/>
        <v>54511</v>
      </c>
      <c r="F17" s="48"/>
      <c r="G17" s="49">
        <f>'2021 Detail'!H345</f>
        <v>261644</v>
      </c>
      <c r="H17" s="48"/>
      <c r="I17" s="74">
        <f>'2021 Detail'!$I345</f>
        <v>0.8276</v>
      </c>
      <c r="J17" s="48"/>
      <c r="K17" s="50"/>
      <c r="L17" s="49">
        <f>ROUND(('2021 Detail'!H346),0)</f>
        <v>256025</v>
      </c>
      <c r="M17" s="48"/>
      <c r="N17" s="74">
        <f>'2021 Detail'!$I346</f>
        <v>0.80979999999999996</v>
      </c>
      <c r="O17" s="40"/>
    </row>
    <row r="18" spans="1:15" ht="21.75" customHeight="1" x14ac:dyDescent="0.2">
      <c r="A18" s="76" t="s">
        <v>870</v>
      </c>
      <c r="B18" s="51"/>
      <c r="C18" s="46">
        <f>'2021 Detail'!G391</f>
        <v>538613</v>
      </c>
      <c r="D18" s="46"/>
      <c r="E18" s="47">
        <f t="shared" si="0"/>
        <v>79919</v>
      </c>
      <c r="F18" s="48"/>
      <c r="G18" s="49">
        <f>'2021 Detail'!H391</f>
        <v>458694</v>
      </c>
      <c r="H18" s="48"/>
      <c r="I18" s="74">
        <f>'2021 Detail'!$I391</f>
        <v>0.85160000000000002</v>
      </c>
      <c r="J18" s="48"/>
      <c r="K18" s="50"/>
      <c r="L18" s="49">
        <f>ROUND(('2021 Detail'!H392),0)</f>
        <v>448478</v>
      </c>
      <c r="M18" s="48"/>
      <c r="N18" s="74">
        <f>'2021 Detail'!$I392</f>
        <v>0.8327</v>
      </c>
      <c r="O18" s="40"/>
    </row>
    <row r="19" spans="1:15" ht="21.75" customHeight="1" x14ac:dyDescent="0.2">
      <c r="A19" s="76" t="s">
        <v>871</v>
      </c>
      <c r="B19" s="51"/>
      <c r="C19" s="46">
        <f>'2021 Detail'!G450</f>
        <v>623163</v>
      </c>
      <c r="D19" s="46"/>
      <c r="E19" s="47">
        <f t="shared" si="0"/>
        <v>22458.570000000065</v>
      </c>
      <c r="F19" s="48"/>
      <c r="G19" s="49">
        <f>'2021 Detail'!H450</f>
        <v>600704.42999999993</v>
      </c>
      <c r="H19" s="48"/>
      <c r="I19" s="74">
        <f>'2021 Detail'!$I450</f>
        <v>0.96399999999999997</v>
      </c>
      <c r="J19" s="48"/>
      <c r="K19" s="50"/>
      <c r="L19" s="49">
        <f>ROUND(('2021 Detail'!H451),0)</f>
        <v>591125</v>
      </c>
      <c r="M19" s="48"/>
      <c r="N19" s="74">
        <f>'2021 Detail'!$I451</f>
        <v>0.93730000000000002</v>
      </c>
      <c r="O19" s="40"/>
    </row>
    <row r="20" spans="1:15" ht="21.75" customHeight="1" x14ac:dyDescent="0.2">
      <c r="A20" s="76" t="s">
        <v>872</v>
      </c>
      <c r="B20" s="51"/>
      <c r="C20" s="46">
        <f>'2021 Detail'!G489</f>
        <v>932398</v>
      </c>
      <c r="D20" s="46"/>
      <c r="E20" s="47">
        <f t="shared" si="0"/>
        <v>99555.219999999972</v>
      </c>
      <c r="F20" s="48"/>
      <c r="G20" s="49">
        <f>'2021 Detail'!H489</f>
        <v>832842.78</v>
      </c>
      <c r="H20" s="48"/>
      <c r="I20" s="74">
        <f>'2021 Detail'!$I489</f>
        <v>0.89319999999999999</v>
      </c>
      <c r="J20" s="48"/>
      <c r="K20" s="50"/>
      <c r="L20" s="49">
        <f>ROUND(('2021 Detail'!H490),0)</f>
        <v>830263</v>
      </c>
      <c r="M20" s="48"/>
      <c r="N20" s="74">
        <f>'2021 Detail'!$I490</f>
        <v>0.89049999999999996</v>
      </c>
      <c r="O20" s="40"/>
    </row>
    <row r="21" spans="1:15" ht="21.75" customHeight="1" x14ac:dyDescent="0.2">
      <c r="A21" s="45"/>
      <c r="B21" s="51"/>
      <c r="C21" s="46"/>
      <c r="D21" s="46"/>
      <c r="E21" s="47"/>
      <c r="F21" s="48"/>
      <c r="G21" s="49"/>
      <c r="H21" s="48"/>
      <c r="I21" s="74"/>
      <c r="J21" s="48"/>
      <c r="K21" s="50"/>
      <c r="L21" s="52"/>
      <c r="M21" s="48"/>
      <c r="N21" s="74"/>
      <c r="O21" s="40"/>
    </row>
    <row r="22" spans="1:15" ht="15" thickBot="1" x14ac:dyDescent="0.25">
      <c r="A22" s="45"/>
      <c r="B22" s="51"/>
      <c r="C22" s="53">
        <f>SUM(C9:C21)</f>
        <v>8132853</v>
      </c>
      <c r="D22" s="54"/>
      <c r="E22" s="53">
        <f>SUM(E9:E21)</f>
        <v>1544859.23</v>
      </c>
      <c r="F22" s="54"/>
      <c r="G22" s="53">
        <f>SUM(G9:G21)</f>
        <v>6587993.7699999996</v>
      </c>
      <c r="H22" s="54"/>
      <c r="I22" s="75">
        <f>'2021 Detail'!$I492</f>
        <v>0.81</v>
      </c>
      <c r="J22" s="54"/>
      <c r="K22" s="55"/>
      <c r="L22" s="53">
        <f>SUM(L9:L21)</f>
        <v>6663468</v>
      </c>
      <c r="M22" s="56"/>
      <c r="N22" s="75">
        <f>'2021 Detail'!$I493</f>
        <v>0.81369999999999998</v>
      </c>
      <c r="O22" s="40"/>
    </row>
    <row r="23" spans="1:15" ht="15" thickTop="1" x14ac:dyDescent="0.2">
      <c r="A23" s="45"/>
      <c r="B23" s="51"/>
      <c r="C23" s="57"/>
      <c r="E23" s="57"/>
      <c r="G23" s="57"/>
      <c r="I23" s="58"/>
      <c r="K23" s="43"/>
      <c r="L23" s="35"/>
      <c r="M23" s="35"/>
      <c r="N23" s="59"/>
      <c r="O23" s="40"/>
    </row>
    <row r="24" spans="1:15" x14ac:dyDescent="0.2">
      <c r="A24" s="45"/>
      <c r="B24" s="51"/>
      <c r="C24" s="57"/>
      <c r="E24" s="57"/>
      <c r="G24" s="57"/>
      <c r="I24" s="58"/>
      <c r="K24" s="43"/>
      <c r="L24" s="35"/>
      <c r="M24" s="35"/>
      <c r="N24" s="59"/>
      <c r="O24" s="40"/>
    </row>
    <row r="25" spans="1:15" ht="15" x14ac:dyDescent="0.25">
      <c r="A25" s="26" t="s">
        <v>873</v>
      </c>
      <c r="I25" s="58"/>
      <c r="K25" s="43"/>
      <c r="L25" s="35"/>
      <c r="M25" s="35"/>
      <c r="N25" s="35"/>
      <c r="O25" s="40"/>
    </row>
    <row r="26" spans="1:15" x14ac:dyDescent="0.2">
      <c r="A26" s="45"/>
      <c r="I26" s="58"/>
      <c r="K26" s="43"/>
      <c r="L26" s="35"/>
      <c r="M26" s="35"/>
      <c r="N26" s="35"/>
      <c r="O26" s="40"/>
    </row>
    <row r="27" spans="1:15" ht="21.75" customHeight="1" x14ac:dyDescent="0.2">
      <c r="A27" s="76" t="s">
        <v>874</v>
      </c>
      <c r="C27" s="46">
        <f>SUM(C9:C14)</f>
        <v>4312078</v>
      </c>
      <c r="D27" s="46">
        <v>0</v>
      </c>
      <c r="E27" s="47">
        <f t="shared" ref="E27:E28" si="1">C27-G27</f>
        <v>1107317.2000000002</v>
      </c>
      <c r="F27" s="48"/>
      <c r="G27" s="46">
        <f>SUM(G9:G14)</f>
        <v>3204760.8</v>
      </c>
      <c r="H27" s="48"/>
      <c r="I27" s="74">
        <f>ROUND((G27/C27),4)</f>
        <v>0.74319999999999997</v>
      </c>
      <c r="J27" s="48"/>
      <c r="K27" s="50"/>
      <c r="L27" s="46">
        <f>SUM(L9:L14)</f>
        <v>3352112</v>
      </c>
      <c r="M27" s="48"/>
      <c r="N27" s="74">
        <f>ROUND((L27/'2021 Card summary'!G17),4)</f>
        <v>0.77739999999999998</v>
      </c>
      <c r="O27" s="40"/>
    </row>
    <row r="28" spans="1:15" ht="21.75" customHeight="1" x14ac:dyDescent="0.2">
      <c r="A28" s="76" t="s">
        <v>875</v>
      </c>
      <c r="C28" s="46">
        <f>SUM(C15:C20)</f>
        <v>3820775</v>
      </c>
      <c r="D28" s="46">
        <v>0</v>
      </c>
      <c r="E28" s="47">
        <f t="shared" si="1"/>
        <v>437542.03000000026</v>
      </c>
      <c r="F28" s="48"/>
      <c r="G28" s="46">
        <f>SUM(G15:G20)</f>
        <v>3383232.9699999997</v>
      </c>
      <c r="H28" s="48"/>
      <c r="I28" s="74">
        <f>ROUND((G28/C28),4)</f>
        <v>0.88549999999999995</v>
      </c>
      <c r="J28" s="48"/>
      <c r="K28" s="50"/>
      <c r="L28" s="46">
        <f>SUM(L15:L20)</f>
        <v>3311356</v>
      </c>
      <c r="M28" s="48"/>
      <c r="N28" s="74">
        <f>ROUND((L28/'2021 Card summary'!G29),4)</f>
        <v>0.86670000000000003</v>
      </c>
      <c r="O28" s="40"/>
    </row>
    <row r="29" spans="1:15" ht="15" x14ac:dyDescent="0.2">
      <c r="A29" s="45"/>
      <c r="K29" s="43"/>
      <c r="L29" s="60"/>
      <c r="M29" s="35"/>
      <c r="N29" s="61"/>
      <c r="O29" s="40"/>
    </row>
    <row r="30" spans="1:15" ht="15" thickBot="1" x14ac:dyDescent="0.25">
      <c r="A30" s="76" t="s">
        <v>855</v>
      </c>
      <c r="C30" s="62">
        <f>SUM(C27:C29)</f>
        <v>8132853</v>
      </c>
      <c r="E30" s="62">
        <f>SUM(E27:E29)</f>
        <v>1544859.2300000004</v>
      </c>
      <c r="G30" s="62">
        <f>SUM(G27:G29)</f>
        <v>6587993.7699999996</v>
      </c>
      <c r="I30" s="75">
        <f>ROUND((G30/C30),4)</f>
        <v>0.81</v>
      </c>
      <c r="K30" s="43"/>
      <c r="L30" s="62">
        <f>SUM(L27:L29)</f>
        <v>6663468</v>
      </c>
      <c r="M30" s="35"/>
      <c r="N30" s="75">
        <f>ROUND((L30/'2021 Card summary'!G32),4)</f>
        <v>0.81930000000000003</v>
      </c>
      <c r="O30" s="40"/>
    </row>
    <row r="31" spans="1:15" ht="15" customHeight="1" thickTop="1" x14ac:dyDescent="0.2">
      <c r="C31" s="63"/>
      <c r="E31" s="63"/>
      <c r="G31" s="63"/>
      <c r="I31" s="59"/>
      <c r="K31" s="64"/>
      <c r="L31" s="65"/>
      <c r="M31" s="65"/>
      <c r="N31" s="66"/>
      <c r="O31" s="67"/>
    </row>
    <row r="32" spans="1:15" ht="15" customHeight="1" x14ac:dyDescent="0.2">
      <c r="C32" s="63"/>
      <c r="E32" s="63"/>
      <c r="G32" s="63"/>
      <c r="I32" s="59"/>
      <c r="K32" s="35"/>
      <c r="L32" s="35"/>
      <c r="M32" s="35"/>
      <c r="N32" s="59"/>
      <c r="O32" s="35"/>
    </row>
    <row r="33" spans="1:21" ht="15" customHeight="1" x14ac:dyDescent="0.2">
      <c r="C33" s="63"/>
      <c r="E33" s="63"/>
      <c r="G33" s="63"/>
      <c r="I33" s="59"/>
      <c r="K33" s="35"/>
      <c r="L33" s="35"/>
      <c r="M33" s="35"/>
      <c r="N33" s="59"/>
      <c r="O33" s="35"/>
    </row>
    <row r="34" spans="1:21" ht="15" customHeight="1" x14ac:dyDescent="0.2">
      <c r="C34" s="63"/>
      <c r="E34" s="63"/>
      <c r="G34" s="63"/>
      <c r="I34" s="59"/>
      <c r="K34" s="35"/>
      <c r="L34" s="35"/>
      <c r="M34" s="35"/>
      <c r="N34" s="59"/>
      <c r="O34" s="35"/>
    </row>
    <row r="35" spans="1:21" ht="15" customHeight="1" x14ac:dyDescent="0.2">
      <c r="C35" s="63"/>
      <c r="E35" s="63"/>
      <c r="G35" s="63"/>
      <c r="I35" s="59"/>
      <c r="K35" s="35"/>
      <c r="L35" s="35"/>
      <c r="M35" s="35"/>
      <c r="N35" s="59"/>
      <c r="O35" s="35"/>
    </row>
    <row r="36" spans="1:21" ht="15" customHeight="1" x14ac:dyDescent="0.2">
      <c r="C36" s="63"/>
      <c r="E36" s="63"/>
      <c r="G36" s="63"/>
      <c r="I36" s="59"/>
      <c r="K36" s="35"/>
      <c r="L36" s="35"/>
      <c r="M36" s="35"/>
      <c r="N36" s="59"/>
      <c r="O36" s="35"/>
      <c r="T36" s="25" t="s">
        <v>1050</v>
      </c>
    </row>
    <row r="37" spans="1:21" ht="14.25" customHeight="1" x14ac:dyDescent="0.2"/>
    <row r="38" spans="1:21" s="48" customFormat="1" ht="15" x14ac:dyDescent="0.2">
      <c r="A38" s="159" t="s">
        <v>1049</v>
      </c>
      <c r="F38" s="162" t="s">
        <v>5</v>
      </c>
      <c r="G38" s="160">
        <f>L30</f>
        <v>6663468</v>
      </c>
      <c r="I38" s="164">
        <f>ROUND((G38/T38),4)</f>
        <v>0.81369999999999998</v>
      </c>
      <c r="T38" s="160">
        <v>8188788</v>
      </c>
    </row>
    <row r="39" spans="1:21" s="48" customFormat="1" ht="15" x14ac:dyDescent="0.2">
      <c r="A39" s="161" t="s">
        <v>881</v>
      </c>
      <c r="B39" s="162"/>
      <c r="C39" s="162"/>
      <c r="D39" s="162"/>
      <c r="E39" s="162"/>
      <c r="F39" s="162" t="s">
        <v>5</v>
      </c>
      <c r="G39" s="160">
        <v>7324227</v>
      </c>
      <c r="H39" s="160">
        <v>0</v>
      </c>
      <c r="I39" s="164">
        <f t="shared" ref="I39:I41" si="2">ROUND((G39/T39),4)</f>
        <v>0.87990000000000002</v>
      </c>
      <c r="Q39" s="163">
        <v>-8.7096773032854791E-2</v>
      </c>
      <c r="T39" s="160">
        <v>8323996</v>
      </c>
    </row>
    <row r="40" spans="1:21" s="48" customFormat="1" ht="15" x14ac:dyDescent="0.2">
      <c r="A40" s="161" t="s">
        <v>882</v>
      </c>
      <c r="B40" s="162"/>
      <c r="C40" s="162"/>
      <c r="D40" s="162"/>
      <c r="E40" s="162"/>
      <c r="F40" s="162" t="s">
        <v>5</v>
      </c>
      <c r="G40" s="160">
        <v>7106555</v>
      </c>
      <c r="H40" s="160">
        <v>0</v>
      </c>
      <c r="I40" s="164">
        <f t="shared" si="2"/>
        <v>0.89200000000000002</v>
      </c>
      <c r="P40" s="49"/>
      <c r="Q40" s="163">
        <v>-7.2386954156383326E-2</v>
      </c>
      <c r="T40" s="160">
        <v>7967353</v>
      </c>
    </row>
    <row r="41" spans="1:21" s="48" customFormat="1" ht="15" x14ac:dyDescent="0.2">
      <c r="A41" s="161" t="s">
        <v>883</v>
      </c>
      <c r="B41" s="162"/>
      <c r="C41" s="162"/>
      <c r="D41" s="162"/>
      <c r="E41" s="162"/>
      <c r="F41" s="162" t="s">
        <v>5</v>
      </c>
      <c r="G41" s="160">
        <v>7065165</v>
      </c>
      <c r="H41" s="160">
        <v>0</v>
      </c>
      <c r="I41" s="164">
        <f t="shared" si="2"/>
        <v>0.9113</v>
      </c>
      <c r="Q41" s="163">
        <v>-6.421954841861259E-2</v>
      </c>
      <c r="T41" s="160">
        <v>7753094</v>
      </c>
    </row>
    <row r="42" spans="1:21" ht="15" x14ac:dyDescent="0.2">
      <c r="G42" s="69"/>
      <c r="I42" s="58"/>
      <c r="T42" s="68"/>
    </row>
    <row r="43" spans="1:21" ht="15" x14ac:dyDescent="0.2">
      <c r="T43" s="68"/>
    </row>
    <row r="44" spans="1:21" x14ac:dyDescent="0.2">
      <c r="E44" s="25" t="s">
        <v>876</v>
      </c>
      <c r="G44" s="70">
        <v>-544634.72999999952</v>
      </c>
    </row>
    <row r="45" spans="1:21" ht="15" x14ac:dyDescent="0.25">
      <c r="G45" s="29">
        <v>2019</v>
      </c>
      <c r="H45" s="29"/>
      <c r="I45" s="29"/>
      <c r="N45" s="29"/>
    </row>
    <row r="46" spans="1:21" x14ac:dyDescent="0.2">
      <c r="F46" s="25" t="s">
        <v>877</v>
      </c>
      <c r="G46" s="71">
        <v>6151417.3578000003</v>
      </c>
      <c r="I46" s="72"/>
      <c r="N46" s="72"/>
      <c r="T46" s="73"/>
      <c r="U46" s="73"/>
    </row>
    <row r="47" spans="1:21" x14ac:dyDescent="0.2">
      <c r="E47" s="54" t="s">
        <v>878</v>
      </c>
      <c r="F47" s="25" t="s">
        <v>877</v>
      </c>
    </row>
    <row r="48" spans="1:21" x14ac:dyDescent="0.2">
      <c r="E48" s="54"/>
      <c r="F48" s="25" t="s">
        <v>877</v>
      </c>
      <c r="G48" s="70">
        <v>-442838.43779999949</v>
      </c>
      <c r="I48" s="72"/>
      <c r="N48" s="72"/>
      <c r="T48" s="73"/>
      <c r="U48" s="73"/>
    </row>
    <row r="78" spans="16:16" x14ac:dyDescent="0.2">
      <c r="P78" s="25" t="s">
        <v>879</v>
      </c>
    </row>
  </sheetData>
  <mergeCells count="8">
    <mergeCell ref="L7:N7"/>
    <mergeCell ref="G7:I7"/>
    <mergeCell ref="G6:I6"/>
    <mergeCell ref="G5:I5"/>
    <mergeCell ref="A1:O1"/>
    <mergeCell ref="A2:O2"/>
    <mergeCell ref="L5:N5"/>
    <mergeCell ref="L6:N6"/>
  </mergeCells>
  <printOptions horizontalCentered="1" verticalCentered="1"/>
  <pageMargins left="0" right="0" top="0" bottom="0" header="0.39370078740157483" footer="0"/>
  <pageSetup paperSize="9" scale="125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2022 detail (2)</vt:lpstr>
      <vt:lpstr>2022 detail</vt:lpstr>
      <vt:lpstr>Multi year deanery</vt:lpstr>
      <vt:lpstr>check debtor</vt:lpstr>
      <vt:lpstr>2022 by benefice</vt:lpstr>
      <vt:lpstr>2021 Detail</vt:lpstr>
      <vt:lpstr>2020 detail</vt:lpstr>
      <vt:lpstr>2021 forecast</vt:lpstr>
      <vt:lpstr>2021 Card summary</vt:lpstr>
      <vt:lpstr>2021 Summary</vt:lpstr>
      <vt:lpstr>'2021 Card summary'!Print_Area</vt:lpstr>
      <vt:lpstr>'2021 Detail'!Print_Area</vt:lpstr>
      <vt:lpstr>'2021 forecast'!Print_Area</vt:lpstr>
      <vt:lpstr>'2021 Summary'!Print_Area</vt:lpstr>
      <vt:lpstr>'2022 by benefice'!Print_Area</vt:lpstr>
      <vt:lpstr>'2022 detail'!Print_Area</vt:lpstr>
      <vt:lpstr>'2022 detail (2)'!Print_Area</vt:lpstr>
      <vt:lpstr>'Multi year deanery'!Print_Area</vt:lpstr>
      <vt:lpstr>'2022 by benefice'!Print_Titles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Stobbs</dc:creator>
  <cp:lastModifiedBy>David Mason</cp:lastModifiedBy>
  <cp:lastPrinted>2023-03-07T12:54:43Z</cp:lastPrinted>
  <dcterms:created xsi:type="dcterms:W3CDTF">2016-04-05T13:39:49Z</dcterms:created>
  <dcterms:modified xsi:type="dcterms:W3CDTF">2023-03-07T12:54:49Z</dcterms:modified>
</cp:coreProperties>
</file>